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840" windowWidth="15120" windowHeight="7275"/>
  </bookViews>
  <sheets>
    <sheet name="9 мес.2021" sheetId="8" r:id="rId1"/>
  </sheets>
  <calcPr calcId="145621"/>
</workbook>
</file>

<file path=xl/calcChain.xml><?xml version="1.0" encoding="utf-8"?>
<calcChain xmlns="http://schemas.openxmlformats.org/spreadsheetml/2006/main">
  <c r="O451" i="8" l="1"/>
  <c r="N451" i="8"/>
  <c r="K451" i="8"/>
  <c r="J451" i="8"/>
  <c r="G451" i="8"/>
  <c r="F451" i="8"/>
  <c r="E451" i="8"/>
  <c r="D451" i="8"/>
  <c r="O450" i="8"/>
  <c r="N450" i="8"/>
  <c r="M450" i="8"/>
  <c r="L450" i="8"/>
  <c r="K450" i="8"/>
  <c r="J450" i="8"/>
  <c r="I450" i="8"/>
  <c r="H450" i="8"/>
  <c r="G450" i="8"/>
  <c r="F450" i="8"/>
  <c r="E450" i="8"/>
  <c r="D450" i="8"/>
  <c r="O448" i="8"/>
  <c r="N448" i="8"/>
  <c r="M448" i="8"/>
  <c r="L448" i="8"/>
  <c r="K448" i="8"/>
  <c r="J448" i="8"/>
  <c r="I448" i="8"/>
  <c r="H448" i="8"/>
  <c r="G448" i="8"/>
  <c r="F448" i="8"/>
  <c r="E448" i="8"/>
  <c r="D448" i="8"/>
  <c r="O446" i="8"/>
  <c r="N446" i="8"/>
  <c r="O447" i="8"/>
  <c r="N447" i="8"/>
  <c r="O444" i="8"/>
  <c r="M205" i="8"/>
  <c r="L205" i="8"/>
  <c r="K205" i="8"/>
  <c r="J205" i="8"/>
  <c r="I205" i="8"/>
  <c r="H205" i="8"/>
  <c r="G205" i="8"/>
  <c r="F205" i="8"/>
  <c r="E205" i="8"/>
  <c r="D205" i="8"/>
  <c r="M203" i="8"/>
  <c r="L203" i="8"/>
  <c r="K203" i="8"/>
  <c r="J203" i="8"/>
  <c r="I203" i="8"/>
  <c r="H203" i="8"/>
  <c r="G203" i="8"/>
  <c r="F203" i="8"/>
  <c r="E203" i="8"/>
  <c r="D203" i="8"/>
  <c r="O200" i="8"/>
  <c r="N200" i="8"/>
  <c r="O198" i="8"/>
  <c r="N198" i="8"/>
  <c r="O196" i="8"/>
  <c r="K163" i="8"/>
  <c r="L141" i="8" l="1"/>
  <c r="K141" i="8"/>
  <c r="J141" i="8"/>
  <c r="I141" i="8"/>
  <c r="H141" i="8"/>
  <c r="G141" i="8"/>
  <c r="F141" i="8"/>
  <c r="E141" i="8"/>
  <c r="D141" i="8"/>
  <c r="O110" i="8"/>
  <c r="N110" i="8"/>
  <c r="N86" i="8"/>
  <c r="O355" i="8"/>
  <c r="N355" i="8"/>
  <c r="O252" i="8" l="1"/>
  <c r="O250" i="8"/>
  <c r="O260" i="8"/>
  <c r="O258" i="8"/>
  <c r="O151" i="8" l="1"/>
  <c r="N151" i="8"/>
  <c r="L151" i="8"/>
  <c r="K151" i="8"/>
  <c r="J151" i="8"/>
  <c r="H151" i="8"/>
  <c r="G151" i="8"/>
  <c r="F151" i="8"/>
  <c r="E151" i="8"/>
  <c r="D151" i="8"/>
  <c r="O149" i="8"/>
  <c r="N149" i="8"/>
  <c r="L149" i="8"/>
  <c r="K149" i="8"/>
  <c r="J149" i="8"/>
  <c r="I149" i="8"/>
  <c r="H149" i="8"/>
  <c r="G149" i="8"/>
  <c r="F149" i="8"/>
  <c r="E149" i="8"/>
  <c r="D149" i="8"/>
  <c r="O146" i="8"/>
  <c r="D44" i="8"/>
  <c r="I44" i="8"/>
  <c r="H44" i="8"/>
  <c r="G44" i="8"/>
  <c r="F44" i="8"/>
  <c r="M42" i="8"/>
  <c r="O40" i="8"/>
  <c r="L32" i="8"/>
  <c r="J32" i="8"/>
  <c r="I32" i="8"/>
  <c r="H32" i="8"/>
  <c r="E32" i="8" s="1"/>
  <c r="D32" i="8"/>
  <c r="N37" i="8"/>
  <c r="E37" i="8"/>
  <c r="L41" i="8"/>
  <c r="L39" i="8" s="1"/>
  <c r="J41" i="8"/>
  <c r="H41" i="8"/>
  <c r="H39" i="8" s="1"/>
  <c r="F41" i="8"/>
  <c r="E41" i="8"/>
  <c r="L40" i="8"/>
  <c r="J40" i="8"/>
  <c r="E40" i="8" s="1"/>
  <c r="K39" i="8"/>
  <c r="J39" i="8"/>
  <c r="I39" i="8"/>
  <c r="G39" i="8"/>
  <c r="G42" i="8" s="1"/>
  <c r="F39" i="8"/>
  <c r="F42" i="8" s="1"/>
  <c r="D39" i="8"/>
  <c r="L38" i="8"/>
  <c r="J38" i="8"/>
  <c r="E38" i="8" s="1"/>
  <c r="D38" i="8"/>
  <c r="L35" i="8"/>
  <c r="J35" i="8"/>
  <c r="L34" i="8"/>
  <c r="L44" i="8" s="1"/>
  <c r="K34" i="8"/>
  <c r="K44" i="8" s="1"/>
  <c r="J34" i="8"/>
  <c r="J44" i="8" s="1"/>
  <c r="E33" i="8"/>
  <c r="E36" i="8"/>
  <c r="K30" i="8"/>
  <c r="O23" i="8"/>
  <c r="L27" i="8"/>
  <c r="J27" i="8"/>
  <c r="D27" i="8"/>
  <c r="L26" i="8"/>
  <c r="E26" i="8" s="1"/>
  <c r="L25" i="8"/>
  <c r="H25" i="8"/>
  <c r="L24" i="8"/>
  <c r="E24" i="8" s="1"/>
  <c r="L23" i="8"/>
  <c r="E23" i="8" s="1"/>
  <c r="E22" i="8"/>
  <c r="J42" i="8" l="1"/>
  <c r="E25" i="8"/>
  <c r="E35" i="8"/>
  <c r="I42" i="8"/>
  <c r="L42" i="8"/>
  <c r="E27" i="8"/>
  <c r="E34" i="8"/>
  <c r="D42" i="8"/>
  <c r="H42" i="8"/>
  <c r="K42" i="8"/>
  <c r="E44" i="8"/>
  <c r="E39" i="8"/>
  <c r="E42" i="8" l="1"/>
  <c r="M451" i="8"/>
  <c r="L451" i="8"/>
  <c r="I451" i="8"/>
  <c r="H451" i="8"/>
  <c r="N444" i="8" l="1"/>
  <c r="L422" i="8"/>
  <c r="J422" i="8"/>
  <c r="I422" i="8"/>
  <c r="H422" i="8"/>
  <c r="G422" i="8"/>
  <c r="F422" i="8"/>
  <c r="E422" i="8"/>
  <c r="D422" i="8"/>
  <c r="M346" i="8"/>
  <c r="L346" i="8"/>
  <c r="K346" i="8"/>
  <c r="J346" i="8"/>
  <c r="I346" i="8"/>
  <c r="H346" i="8"/>
  <c r="G346" i="8"/>
  <c r="F346" i="8"/>
  <c r="E346" i="8"/>
  <c r="D346" i="8"/>
  <c r="M345" i="8"/>
  <c r="L345" i="8"/>
  <c r="K345" i="8"/>
  <c r="J345" i="8"/>
  <c r="I345" i="8"/>
  <c r="H345" i="8"/>
  <c r="G345" i="8"/>
  <c r="F345" i="8"/>
  <c r="E345" i="8"/>
  <c r="D345" i="8"/>
  <c r="K343" i="8"/>
  <c r="F343" i="8"/>
  <c r="G343" i="8" s="1"/>
  <c r="D343" i="8"/>
  <c r="O335" i="8"/>
  <c r="O334" i="8"/>
  <c r="N335" i="8"/>
  <c r="N334" i="8"/>
  <c r="J333" i="8"/>
  <c r="J343" i="8" s="1"/>
  <c r="I333" i="8"/>
  <c r="H333" i="8"/>
  <c r="H343" i="8" s="1"/>
  <c r="E333" i="8"/>
  <c r="E343" i="8" s="1"/>
  <c r="D333" i="8"/>
  <c r="I329" i="8"/>
  <c r="O330" i="8"/>
  <c r="M309" i="8"/>
  <c r="L309" i="8"/>
  <c r="K309" i="8"/>
  <c r="J309" i="8"/>
  <c r="I309" i="8"/>
  <c r="H309" i="8"/>
  <c r="G309" i="8"/>
  <c r="F309" i="8"/>
  <c r="E309" i="8"/>
  <c r="M307" i="8"/>
  <c r="L307" i="8"/>
  <c r="K307" i="8"/>
  <c r="J307" i="8"/>
  <c r="I307" i="8"/>
  <c r="H307" i="8"/>
  <c r="G307" i="8"/>
  <c r="F307" i="8"/>
  <c r="E307" i="8"/>
  <c r="D307" i="8"/>
  <c r="D309" i="8"/>
  <c r="O305" i="8"/>
  <c r="N305" i="8"/>
  <c r="L268" i="8"/>
  <c r="K268" i="8"/>
  <c r="J268" i="8"/>
  <c r="I268" i="8"/>
  <c r="H268" i="8"/>
  <c r="G268" i="8"/>
  <c r="F268" i="8"/>
  <c r="E268" i="8"/>
  <c r="D268" i="8"/>
  <c r="M266" i="8"/>
  <c r="L266" i="8"/>
  <c r="K266" i="8"/>
  <c r="J266" i="8"/>
  <c r="I266" i="8"/>
  <c r="H266" i="8"/>
  <c r="G266" i="8"/>
  <c r="F266" i="8"/>
  <c r="E266" i="8"/>
  <c r="D266" i="8"/>
  <c r="N260" i="8"/>
  <c r="N258" i="8"/>
  <c r="I343" i="8" l="1"/>
  <c r="L343" i="8"/>
  <c r="M343" i="8" s="1"/>
  <c r="O192" i="8"/>
  <c r="M141" i="8"/>
  <c r="M143" i="8" s="1"/>
  <c r="L143" i="8"/>
  <c r="K143" i="8"/>
  <c r="J143" i="8"/>
  <c r="I143" i="8"/>
  <c r="H143" i="8"/>
  <c r="G143" i="8"/>
  <c r="F143" i="8"/>
  <c r="E143" i="8"/>
  <c r="O84" i="8"/>
  <c r="N84" i="8"/>
  <c r="O86" i="8"/>
  <c r="O88" i="8"/>
  <c r="N88" i="8"/>
  <c r="O90" i="8"/>
  <c r="N90" i="8"/>
  <c r="O92" i="8"/>
  <c r="N92" i="8"/>
  <c r="O94" i="8"/>
  <c r="N94" i="8"/>
  <c r="O96" i="8"/>
  <c r="N96" i="8"/>
  <c r="O98" i="8"/>
  <c r="N98" i="8"/>
  <c r="O100" i="8"/>
  <c r="N100" i="8"/>
  <c r="O102" i="8"/>
  <c r="N102" i="8"/>
  <c r="O104" i="8"/>
  <c r="N104" i="8"/>
  <c r="O106" i="8"/>
  <c r="N106" i="8"/>
  <c r="O108" i="8"/>
  <c r="N108" i="8"/>
  <c r="O112" i="8"/>
  <c r="N112" i="8"/>
  <c r="O114" i="8"/>
  <c r="N114" i="8"/>
  <c r="O116" i="8"/>
  <c r="N116" i="8"/>
  <c r="O118" i="8"/>
  <c r="N118" i="8"/>
  <c r="O120" i="8"/>
  <c r="N120" i="8"/>
  <c r="O122" i="8"/>
  <c r="N122" i="8"/>
  <c r="O124" i="8"/>
  <c r="N124" i="8"/>
  <c r="O126" i="8"/>
  <c r="N126" i="8"/>
  <c r="O128" i="8"/>
  <c r="N128" i="8"/>
  <c r="O130" i="8"/>
  <c r="N130" i="8"/>
  <c r="O132" i="8"/>
  <c r="N132" i="8"/>
  <c r="O134" i="8"/>
  <c r="N134" i="8"/>
  <c r="O136" i="8"/>
  <c r="N136" i="8"/>
  <c r="O138" i="8"/>
  <c r="N138" i="8"/>
  <c r="O140" i="8"/>
  <c r="N140" i="8"/>
  <c r="O141" i="8" l="1"/>
  <c r="N141" i="8"/>
  <c r="N143" i="8" s="1"/>
  <c r="O143" i="8"/>
  <c r="O72" i="8"/>
  <c r="N36" i="8" l="1"/>
  <c r="N40" i="8"/>
  <c r="N35" i="8" l="1"/>
  <c r="J210" i="8"/>
  <c r="H210" i="8"/>
  <c r="G210" i="8"/>
  <c r="F210" i="8"/>
  <c r="E210" i="8"/>
  <c r="D210" i="8"/>
  <c r="D206" i="8"/>
  <c r="L210" i="8"/>
  <c r="M17" i="8"/>
  <c r="L17" i="8"/>
  <c r="K17" i="8"/>
  <c r="J17" i="8"/>
  <c r="I17" i="8"/>
  <c r="H17" i="8"/>
  <c r="G17" i="8"/>
  <c r="F17" i="8"/>
  <c r="E17" i="8"/>
  <c r="D17" i="8"/>
  <c r="O79" i="8" l="1"/>
  <c r="O81" i="8" s="1"/>
  <c r="N79" i="8"/>
  <c r="N81" i="8" s="1"/>
  <c r="M79" i="8"/>
  <c r="M81" i="8" s="1"/>
  <c r="L79" i="8"/>
  <c r="L81" i="8" s="1"/>
  <c r="K79" i="8"/>
  <c r="K81" i="8" s="1"/>
  <c r="J79" i="8"/>
  <c r="J81" i="8" s="1"/>
  <c r="I79" i="8"/>
  <c r="I81" i="8" s="1"/>
  <c r="H79" i="8"/>
  <c r="H81" i="8" s="1"/>
  <c r="G79" i="8"/>
  <c r="G81" i="8" s="1"/>
  <c r="F79" i="8"/>
  <c r="F81" i="8" s="1"/>
  <c r="E79" i="8"/>
  <c r="E81" i="8" s="1"/>
  <c r="D79" i="8"/>
  <c r="D81" i="8" s="1"/>
  <c r="N196" i="8"/>
  <c r="N194" i="8"/>
  <c r="N192" i="8"/>
  <c r="N163" i="8"/>
  <c r="O163" i="8"/>
  <c r="N165" i="8"/>
  <c r="O165" i="8"/>
  <c r="N166" i="8"/>
  <c r="O166" i="8"/>
  <c r="N168" i="8"/>
  <c r="O168" i="8"/>
  <c r="N170" i="8"/>
  <c r="O170" i="8"/>
  <c r="N172" i="8"/>
  <c r="O172" i="8"/>
  <c r="N174" i="8"/>
  <c r="O174" i="8"/>
  <c r="N176" i="8"/>
  <c r="O176" i="8"/>
  <c r="N178" i="8"/>
  <c r="O178" i="8"/>
  <c r="N180" i="8"/>
  <c r="O180" i="8"/>
  <c r="N182" i="8"/>
  <c r="O182" i="8"/>
  <c r="N184" i="8"/>
  <c r="O184" i="8"/>
  <c r="N186" i="8"/>
  <c r="O186" i="8"/>
  <c r="N188" i="8"/>
  <c r="O188" i="8"/>
  <c r="N190" i="8"/>
  <c r="O190" i="8"/>
  <c r="N202" i="8"/>
  <c r="O202" i="8"/>
  <c r="L208" i="8"/>
  <c r="J208" i="8"/>
  <c r="H208" i="8"/>
  <c r="G208" i="8"/>
  <c r="F208" i="8"/>
  <c r="E208" i="8"/>
  <c r="D208" i="8"/>
  <c r="I210" i="8"/>
  <c r="K210" i="8"/>
  <c r="E206" i="8"/>
  <c r="F206" i="8"/>
  <c r="G206" i="8"/>
  <c r="H206" i="8"/>
  <c r="I206" i="8"/>
  <c r="J206" i="8"/>
  <c r="K206" i="8"/>
  <c r="L206" i="8"/>
  <c r="M206" i="8"/>
  <c r="N206" i="8"/>
  <c r="O206" i="8"/>
  <c r="M439" i="8"/>
  <c r="L439" i="8"/>
  <c r="K439" i="8"/>
  <c r="J439" i="8"/>
  <c r="I439" i="8"/>
  <c r="H439" i="8"/>
  <c r="G439" i="8"/>
  <c r="F439" i="8"/>
  <c r="E439" i="8"/>
  <c r="D439" i="8"/>
  <c r="M437" i="8"/>
  <c r="L437" i="8"/>
  <c r="K437" i="8"/>
  <c r="J437" i="8"/>
  <c r="I437" i="8"/>
  <c r="H437" i="8"/>
  <c r="G437" i="8"/>
  <c r="F437" i="8"/>
  <c r="E437" i="8"/>
  <c r="D437" i="8"/>
  <c r="O418" i="8"/>
  <c r="N418" i="8"/>
  <c r="O416" i="8"/>
  <c r="N416" i="8"/>
  <c r="O414" i="8"/>
  <c r="N414" i="8"/>
  <c r="O412" i="8"/>
  <c r="N412" i="8"/>
  <c r="M420" i="8"/>
  <c r="L420" i="8"/>
  <c r="K420" i="8"/>
  <c r="J420" i="8"/>
  <c r="I420" i="8"/>
  <c r="H420" i="8"/>
  <c r="G420" i="8"/>
  <c r="F420" i="8"/>
  <c r="E420" i="8"/>
  <c r="D420" i="8"/>
  <c r="N205" i="8" l="1"/>
  <c r="N203" i="8"/>
  <c r="O205" i="8"/>
  <c r="O203" i="8"/>
  <c r="M359" i="8"/>
  <c r="L359" i="8"/>
  <c r="K359" i="8"/>
  <c r="J359" i="8"/>
  <c r="I359" i="8"/>
  <c r="H359" i="8"/>
  <c r="G359" i="8"/>
  <c r="F359" i="8"/>
  <c r="E359" i="8"/>
  <c r="D359" i="8"/>
  <c r="M357" i="8"/>
  <c r="L357" i="8"/>
  <c r="K357" i="8"/>
  <c r="J357" i="8"/>
  <c r="I357" i="8"/>
  <c r="H357" i="8"/>
  <c r="G357" i="8"/>
  <c r="F357" i="8"/>
  <c r="E357" i="8"/>
  <c r="D357" i="8"/>
  <c r="I349" i="8" l="1"/>
  <c r="G349" i="8"/>
  <c r="F349" i="8"/>
  <c r="G347" i="8"/>
  <c r="J349" i="8"/>
  <c r="H349" i="8"/>
  <c r="E349" i="8"/>
  <c r="J347" i="8"/>
  <c r="I347" i="8"/>
  <c r="H347" i="8"/>
  <c r="F347" i="8"/>
  <c r="E347" i="8"/>
  <c r="N342" i="8"/>
  <c r="O342" i="8"/>
  <c r="D349" i="8" l="1"/>
  <c r="D347" i="8"/>
  <c r="O284" i="8"/>
  <c r="N284" i="8"/>
  <c r="O280" i="8"/>
  <c r="N280" i="8"/>
  <c r="O272" i="8"/>
  <c r="N272" i="8"/>
  <c r="M268" i="8"/>
  <c r="N252" i="8"/>
  <c r="O256" i="8"/>
  <c r="N256" i="8"/>
  <c r="O264" i="8"/>
  <c r="N264" i="8"/>
  <c r="O248" i="8"/>
  <c r="N248" i="8"/>
  <c r="O246" i="8"/>
  <c r="N246" i="8"/>
  <c r="N268" i="8" l="1"/>
  <c r="O268" i="8"/>
  <c r="D237" i="8"/>
  <c r="N229" i="8" l="1"/>
  <c r="M229" i="8"/>
  <c r="L229" i="8"/>
  <c r="K229" i="8"/>
  <c r="J229" i="8"/>
  <c r="I229" i="8"/>
  <c r="H229" i="8"/>
  <c r="G229" i="8"/>
  <c r="F229" i="8"/>
  <c r="E229" i="8"/>
  <c r="D229" i="8"/>
  <c r="M216" i="8"/>
  <c r="L216" i="8"/>
  <c r="K216" i="8"/>
  <c r="J216" i="8"/>
  <c r="I216" i="8"/>
  <c r="H216" i="8"/>
  <c r="G216" i="8"/>
  <c r="F216" i="8"/>
  <c r="E216" i="8"/>
  <c r="D216" i="8"/>
  <c r="M214" i="8"/>
  <c r="L214" i="8"/>
  <c r="K214" i="8"/>
  <c r="J214" i="8"/>
  <c r="I214" i="8"/>
  <c r="H214" i="8"/>
  <c r="G214" i="8"/>
  <c r="F214" i="8"/>
  <c r="E214" i="8"/>
  <c r="D214" i="8"/>
  <c r="O161" i="8" l="1"/>
  <c r="N161" i="8"/>
  <c r="O159" i="8"/>
  <c r="N159" i="8"/>
  <c r="N56" i="8"/>
  <c r="O56" i="8"/>
  <c r="D58" i="8"/>
  <c r="E58" i="8"/>
  <c r="F58" i="8"/>
  <c r="G58" i="8"/>
  <c r="H58" i="8"/>
  <c r="I58" i="8"/>
  <c r="J58" i="8"/>
  <c r="K58" i="8"/>
  <c r="L58" i="8"/>
  <c r="M58" i="8"/>
  <c r="D60" i="8"/>
  <c r="E60" i="8"/>
  <c r="F60" i="8"/>
  <c r="G60" i="8"/>
  <c r="H60" i="8"/>
  <c r="I60" i="8"/>
  <c r="J60" i="8"/>
  <c r="K60" i="8"/>
  <c r="L60" i="8"/>
  <c r="M60" i="8"/>
  <c r="N60" i="8"/>
  <c r="L30" i="8"/>
  <c r="M382" i="8" l="1"/>
  <c r="L382" i="8"/>
  <c r="K382" i="8"/>
  <c r="J382" i="8"/>
  <c r="I382" i="8"/>
  <c r="H382" i="8"/>
  <c r="G382" i="8"/>
  <c r="F382" i="8"/>
  <c r="E382" i="8"/>
  <c r="D382" i="8"/>
  <c r="O378" i="8"/>
  <c r="N378" i="8"/>
  <c r="M349" i="8" l="1"/>
  <c r="L349" i="8"/>
  <c r="K349" i="8"/>
  <c r="M347" i="8"/>
  <c r="L347" i="8"/>
  <c r="K347" i="8"/>
  <c r="M350" i="8"/>
  <c r="O341" i="8"/>
  <c r="N341" i="8"/>
  <c r="O333" i="8"/>
  <c r="N333" i="8"/>
  <c r="O331" i="8"/>
  <c r="O346" i="8" s="1"/>
  <c r="N331" i="8"/>
  <c r="O254" i="8"/>
  <c r="N254" i="8"/>
  <c r="N250" i="8"/>
  <c r="N346" i="8" l="1"/>
  <c r="O219" i="8"/>
  <c r="O218" i="8"/>
  <c r="O213" i="8"/>
  <c r="O229" i="8"/>
  <c r="O216" i="8" l="1"/>
  <c r="O214" i="8"/>
  <c r="M422" i="8" l="1"/>
  <c r="K422" i="8"/>
  <c r="O338" i="8" l="1"/>
  <c r="N338" i="8"/>
  <c r="N339" i="8"/>
  <c r="O339" i="8"/>
  <c r="O398" i="8" l="1"/>
  <c r="O396" i="8"/>
  <c r="O394" i="8"/>
  <c r="O392" i="8"/>
  <c r="O390" i="8"/>
  <c r="O388" i="8"/>
  <c r="O386" i="8"/>
  <c r="O384" i="8"/>
  <c r="O400" i="8"/>
  <c r="N398" i="8"/>
  <c r="N396" i="8"/>
  <c r="N394" i="8"/>
  <c r="N392" i="8"/>
  <c r="N390" i="8"/>
  <c r="N388" i="8"/>
  <c r="N386" i="8"/>
  <c r="N384" i="8"/>
  <c r="O336" i="8"/>
  <c r="N336" i="8"/>
  <c r="O332" i="8"/>
  <c r="N330" i="8"/>
  <c r="M43" i="8" l="1"/>
  <c r="D43" i="8"/>
  <c r="N23" i="8" l="1"/>
  <c r="O9" i="8"/>
  <c r="N9" i="8"/>
  <c r="N8" i="8"/>
  <c r="O8" i="8"/>
  <c r="M30" i="8" l="1"/>
  <c r="I30" i="8"/>
  <c r="H30" i="8"/>
  <c r="G30" i="8"/>
  <c r="F30" i="8"/>
  <c r="D30" i="8"/>
  <c r="M28" i="8"/>
  <c r="L28" i="8"/>
  <c r="K28" i="8"/>
  <c r="I28" i="8"/>
  <c r="H28" i="8"/>
  <c r="G28" i="8"/>
  <c r="F28" i="8"/>
  <c r="D28" i="8"/>
  <c r="J30" i="8"/>
  <c r="E28" i="8" l="1"/>
  <c r="E43" i="8"/>
  <c r="F43" i="8"/>
  <c r="J43" i="8"/>
  <c r="G43" i="8"/>
  <c r="I43" i="8"/>
  <c r="K43" i="8"/>
  <c r="E30" i="8"/>
  <c r="H43" i="8"/>
  <c r="L43" i="8"/>
  <c r="J28" i="8"/>
  <c r="M440" i="8"/>
  <c r="L440" i="8"/>
  <c r="K440" i="8"/>
  <c r="J440" i="8"/>
  <c r="I440" i="8"/>
  <c r="H440" i="8"/>
  <c r="G440" i="8"/>
  <c r="F440" i="8"/>
  <c r="E440" i="8"/>
  <c r="D440" i="8"/>
  <c r="N439" i="8"/>
  <c r="O436" i="8"/>
  <c r="N436" i="8"/>
  <c r="O434" i="8"/>
  <c r="N434" i="8"/>
  <c r="O432" i="8"/>
  <c r="N432" i="8"/>
  <c r="O431" i="8"/>
  <c r="N431" i="8"/>
  <c r="N429" i="8"/>
  <c r="M211" i="8"/>
  <c r="L211" i="8"/>
  <c r="K211" i="8"/>
  <c r="J211" i="8"/>
  <c r="I211" i="8"/>
  <c r="H211" i="8"/>
  <c r="G211" i="8"/>
  <c r="F211" i="8"/>
  <c r="E211" i="8"/>
  <c r="D211" i="8"/>
  <c r="M210" i="8"/>
  <c r="M208" i="8"/>
  <c r="K208" i="8"/>
  <c r="I208" i="8"/>
  <c r="O211" i="8"/>
  <c r="N211" i="8"/>
  <c r="D143" i="8"/>
  <c r="N153" i="8"/>
  <c r="O153" i="8"/>
  <c r="G157" i="8"/>
  <c r="H157" i="8"/>
  <c r="I157" i="8"/>
  <c r="K157" i="8"/>
  <c r="M69" i="8"/>
  <c r="L69" i="8"/>
  <c r="K69" i="8"/>
  <c r="J69" i="8"/>
  <c r="I69" i="8"/>
  <c r="H69" i="8"/>
  <c r="G69" i="8"/>
  <c r="F69" i="8"/>
  <c r="E69" i="8"/>
  <c r="D69" i="8"/>
  <c r="O66" i="8"/>
  <c r="O65" i="8"/>
  <c r="O69" i="8" s="1"/>
  <c r="N66" i="8"/>
  <c r="N65" i="8"/>
  <c r="N69" i="8" s="1"/>
  <c r="N440" i="8" l="1"/>
  <c r="N437" i="8"/>
  <c r="O429" i="8"/>
  <c r="O437" i="8"/>
  <c r="O440" i="8"/>
  <c r="O439" i="8"/>
  <c r="G156" i="8"/>
  <c r="D156" i="8"/>
  <c r="F156" i="8"/>
  <c r="H156" i="8"/>
  <c r="J156" i="8"/>
  <c r="L156" i="8"/>
  <c r="E156" i="8"/>
  <c r="I156" i="8"/>
  <c r="K156" i="8"/>
  <c r="M156" i="8"/>
  <c r="N332" i="8" l="1"/>
  <c r="O16" i="8" l="1"/>
  <c r="N16" i="8"/>
  <c r="O406" i="8"/>
  <c r="O404" i="8"/>
  <c r="O402" i="8"/>
  <c r="N356" i="8"/>
  <c r="M315" i="8"/>
  <c r="L315" i="8"/>
  <c r="K315" i="8"/>
  <c r="J315" i="8"/>
  <c r="I315" i="8"/>
  <c r="H315" i="8"/>
  <c r="G315" i="8"/>
  <c r="F315" i="8"/>
  <c r="E315" i="8"/>
  <c r="D315" i="8"/>
  <c r="M313" i="8"/>
  <c r="L313" i="8"/>
  <c r="K313" i="8"/>
  <c r="J313" i="8"/>
  <c r="I313" i="8"/>
  <c r="H313" i="8"/>
  <c r="G313" i="8"/>
  <c r="F313" i="8"/>
  <c r="E313" i="8"/>
  <c r="D313" i="8"/>
  <c r="M276" i="8"/>
  <c r="L276" i="8"/>
  <c r="K276" i="8"/>
  <c r="O276" i="8"/>
  <c r="N276" i="8"/>
  <c r="F276" i="8"/>
  <c r="J276" i="8"/>
  <c r="I276" i="8"/>
  <c r="H276" i="8"/>
  <c r="G276" i="8"/>
  <c r="E276" i="8"/>
  <c r="D276" i="8"/>
  <c r="M274" i="8"/>
  <c r="L274" i="8"/>
  <c r="K274" i="8"/>
  <c r="J274" i="8"/>
  <c r="I274" i="8"/>
  <c r="H274" i="8"/>
  <c r="G274" i="8"/>
  <c r="F274" i="8"/>
  <c r="E274" i="8"/>
  <c r="D274" i="8"/>
  <c r="N19" i="8" l="1"/>
  <c r="N17" i="8"/>
  <c r="O17" i="8"/>
  <c r="O19" i="8"/>
  <c r="O340" i="8"/>
  <c r="N340" i="8"/>
  <c r="O337" i="8"/>
  <c r="N337" i="8"/>
  <c r="O329" i="8"/>
  <c r="N329" i="8"/>
  <c r="N343" i="8" s="1"/>
  <c r="O328" i="8"/>
  <c r="N328" i="8"/>
  <c r="O343" i="8" l="1"/>
  <c r="O345" i="8"/>
  <c r="N345" i="8"/>
  <c r="N347" i="8"/>
  <c r="O347" i="8"/>
  <c r="M302" i="8"/>
  <c r="L302" i="8"/>
  <c r="K302" i="8"/>
  <c r="J302" i="8"/>
  <c r="I302" i="8"/>
  <c r="H302" i="8"/>
  <c r="G302" i="8"/>
  <c r="F302" i="8"/>
  <c r="E302" i="8"/>
  <c r="D302" i="8"/>
  <c r="M12" i="8"/>
  <c r="M44" i="8" l="1"/>
  <c r="O33" i="8"/>
  <c r="N33" i="8" l="1"/>
  <c r="M53" i="8" l="1"/>
  <c r="L53" i="8"/>
  <c r="K53" i="8"/>
  <c r="J53" i="8"/>
  <c r="I53" i="8"/>
  <c r="H53" i="8"/>
  <c r="G53" i="8"/>
  <c r="F53" i="8"/>
  <c r="E53" i="8"/>
  <c r="D53" i="8"/>
  <c r="N406" i="8" l="1"/>
  <c r="O350" i="8" l="1"/>
  <c r="N350" i="8"/>
  <c r="O410" i="8" l="1"/>
  <c r="O422" i="8" s="1"/>
  <c r="O408" i="8"/>
  <c r="O420" i="8" s="1"/>
  <c r="N410" i="8"/>
  <c r="N408" i="8"/>
  <c r="N404" i="8"/>
  <c r="N402" i="8"/>
  <c r="N400" i="8"/>
  <c r="M380" i="8"/>
  <c r="L380" i="8"/>
  <c r="K380" i="8"/>
  <c r="J380" i="8"/>
  <c r="I380" i="8"/>
  <c r="H380" i="8"/>
  <c r="G380" i="8"/>
  <c r="F380" i="8"/>
  <c r="E380" i="8"/>
  <c r="D380" i="8"/>
  <c r="O375" i="8"/>
  <c r="N375" i="8"/>
  <c r="O373" i="8"/>
  <c r="N373" i="8"/>
  <c r="O352" i="8"/>
  <c r="N422" i="8" l="1"/>
  <c r="N420" i="8"/>
  <c r="M320" i="8"/>
  <c r="L320" i="8"/>
  <c r="K320" i="8"/>
  <c r="J320" i="8"/>
  <c r="I320" i="8"/>
  <c r="H320" i="8"/>
  <c r="G320" i="8"/>
  <c r="F320" i="8"/>
  <c r="E320" i="8"/>
  <c r="D320" i="8"/>
  <c r="M318" i="8"/>
  <c r="L318" i="8"/>
  <c r="K318" i="8"/>
  <c r="J318" i="8"/>
  <c r="I318" i="8"/>
  <c r="H318" i="8"/>
  <c r="G318" i="8"/>
  <c r="F318" i="8"/>
  <c r="E318" i="8"/>
  <c r="D318" i="8"/>
  <c r="M296" i="8"/>
  <c r="L296" i="8"/>
  <c r="K296" i="8"/>
  <c r="J296" i="8"/>
  <c r="I296" i="8"/>
  <c r="H296" i="8"/>
  <c r="G296" i="8"/>
  <c r="F296" i="8"/>
  <c r="E296" i="8"/>
  <c r="D296" i="8"/>
  <c r="M294" i="8"/>
  <c r="L294" i="8"/>
  <c r="K294" i="8"/>
  <c r="J294" i="8"/>
  <c r="I294" i="8"/>
  <c r="H294" i="8"/>
  <c r="G294" i="8"/>
  <c r="F294" i="8"/>
  <c r="E294" i="8"/>
  <c r="D294" i="8"/>
  <c r="M288" i="8"/>
  <c r="L288" i="8"/>
  <c r="K288" i="8"/>
  <c r="J288" i="8"/>
  <c r="I288" i="8"/>
  <c r="H288" i="8"/>
  <c r="G288" i="8"/>
  <c r="F288" i="8"/>
  <c r="E288" i="8"/>
  <c r="D288" i="8"/>
  <c r="M286" i="8"/>
  <c r="L286" i="8"/>
  <c r="K286" i="8"/>
  <c r="J286" i="8"/>
  <c r="I286" i="8"/>
  <c r="H286" i="8"/>
  <c r="G286" i="8"/>
  <c r="F286" i="8"/>
  <c r="E286" i="8"/>
  <c r="D286" i="8"/>
  <c r="N270" i="8"/>
  <c r="N274" i="8" s="1"/>
  <c r="O302" i="8"/>
  <c r="N286" i="8" l="1"/>
  <c r="L301" i="8"/>
  <c r="I301" i="8"/>
  <c r="K301" i="8"/>
  <c r="M301" i="8"/>
  <c r="K299" i="8"/>
  <c r="I299" i="8"/>
  <c r="L299" i="8"/>
  <c r="E299" i="8"/>
  <c r="N302" i="8"/>
  <c r="M239" i="8" l="1"/>
  <c r="L239" i="8"/>
  <c r="K239" i="8"/>
  <c r="J239" i="8"/>
  <c r="I239" i="8"/>
  <c r="H239" i="8"/>
  <c r="G239" i="8"/>
  <c r="F239" i="8"/>
  <c r="E239" i="8"/>
  <c r="D239" i="8"/>
  <c r="M237" i="8"/>
  <c r="L237" i="8"/>
  <c r="J237" i="8"/>
  <c r="I237" i="8"/>
  <c r="H237" i="8"/>
  <c r="G237" i="8"/>
  <c r="F237" i="8"/>
  <c r="E237" i="8"/>
  <c r="M234" i="8"/>
  <c r="L234" i="8"/>
  <c r="K234" i="8"/>
  <c r="J234" i="8"/>
  <c r="I234" i="8"/>
  <c r="H234" i="8"/>
  <c r="G234" i="8"/>
  <c r="F234" i="8"/>
  <c r="E234" i="8"/>
  <c r="D234" i="8"/>
  <c r="M232" i="8"/>
  <c r="L232" i="8"/>
  <c r="K232" i="8"/>
  <c r="J232" i="8"/>
  <c r="I232" i="8"/>
  <c r="H232" i="8"/>
  <c r="G232" i="8"/>
  <c r="F232" i="8"/>
  <c r="E232" i="8"/>
  <c r="D232" i="8"/>
  <c r="L220" i="8"/>
  <c r="L226" i="8" s="1"/>
  <c r="G220" i="8"/>
  <c r="F220" i="8"/>
  <c r="F226" i="8" s="1"/>
  <c r="E220" i="8"/>
  <c r="D220" i="8"/>
  <c r="D222" i="8" l="1"/>
  <c r="D228" i="8" s="1"/>
  <c r="D226" i="8"/>
  <c r="E222" i="8"/>
  <c r="E228" i="8" s="1"/>
  <c r="E226" i="8"/>
  <c r="G222" i="8"/>
  <c r="G228" i="8" s="1"/>
  <c r="G226" i="8"/>
  <c r="F222" i="8"/>
  <c r="F228" i="8" s="1"/>
  <c r="L222" i="8"/>
  <c r="L228" i="8" s="1"/>
  <c r="O207" i="8" l="1"/>
  <c r="O210" i="8" s="1"/>
  <c r="N207" i="8"/>
  <c r="N208" i="8" l="1"/>
  <c r="N210" i="8"/>
  <c r="O208" i="8"/>
  <c r="N363" i="8" l="1"/>
  <c r="M67" i="8" l="1"/>
  <c r="M154" i="8" s="1"/>
  <c r="L67" i="8"/>
  <c r="L154" i="8" s="1"/>
  <c r="I67" i="8"/>
  <c r="I154" i="8" s="1"/>
  <c r="M299" i="8" l="1"/>
  <c r="O356" i="8" l="1"/>
  <c r="O354" i="8"/>
  <c r="O353" i="8"/>
  <c r="O360" i="8" s="1"/>
  <c r="O427" i="8" s="1"/>
  <c r="O359" i="8" l="1"/>
  <c r="O357" i="8"/>
  <c r="O45" i="8"/>
  <c r="N45" i="8"/>
  <c r="N46" i="8" s="1"/>
  <c r="O41" i="8"/>
  <c r="O39" i="8"/>
  <c r="O35" i="8"/>
  <c r="O34" i="8"/>
  <c r="O32" i="8"/>
  <c r="N41" i="8"/>
  <c r="N39" i="8"/>
  <c r="N34" i="8"/>
  <c r="N44" i="8" s="1"/>
  <c r="O27" i="8"/>
  <c r="O26" i="8"/>
  <c r="O25" i="8"/>
  <c r="N27" i="8"/>
  <c r="N26" i="8"/>
  <c r="O24" i="8"/>
  <c r="N24" i="8"/>
  <c r="O22" i="8"/>
  <c r="N22" i="8"/>
  <c r="O28" i="8" l="1"/>
  <c r="O44" i="8"/>
  <c r="O53" i="8" s="1"/>
  <c r="N53" i="8"/>
  <c r="N25" i="8"/>
  <c r="N28" i="8" s="1"/>
  <c r="N32" i="8"/>
  <c r="O312" i="8" l="1"/>
  <c r="O311" i="8"/>
  <c r="N312" i="8"/>
  <c r="N311" i="8"/>
  <c r="O317" i="8"/>
  <c r="O318" i="8" s="1"/>
  <c r="N317" i="8"/>
  <c r="N318" i="8" s="1"/>
  <c r="O306" i="8"/>
  <c r="N306" i="8"/>
  <c r="O304" i="8"/>
  <c r="N304" i="8"/>
  <c r="N309" i="8" l="1"/>
  <c r="N307" i="8"/>
  <c r="O309" i="8"/>
  <c r="O307" i="8"/>
  <c r="O315" i="8"/>
  <c r="N313" i="8"/>
  <c r="O313" i="8"/>
  <c r="O298" i="8"/>
  <c r="N298" i="8"/>
  <c r="O296" i="8"/>
  <c r="N292" i="8"/>
  <c r="O292" i="8"/>
  <c r="O290" i="8"/>
  <c r="O294" i="8" s="1"/>
  <c r="N290" i="8"/>
  <c r="N294" i="8" s="1"/>
  <c r="O282" i="8"/>
  <c r="N282" i="8"/>
  <c r="O278" i="8"/>
  <c r="N278" i="8"/>
  <c r="N322" i="8" l="1"/>
  <c r="O286" i="8"/>
  <c r="N288" i="8"/>
  <c r="O288" i="8"/>
  <c r="O322" i="8"/>
  <c r="N296" i="8"/>
  <c r="O231" i="8"/>
  <c r="N231" i="8"/>
  <c r="N232" i="8" l="1"/>
  <c r="N234" i="8"/>
  <c r="O232" i="8"/>
  <c r="O234" i="8"/>
  <c r="O236" i="8"/>
  <c r="N236" i="8"/>
  <c r="O239" i="8" l="1"/>
  <c r="O243" i="8" s="1"/>
  <c r="O237" i="8"/>
  <c r="O241" i="8" s="1"/>
  <c r="N239" i="8"/>
  <c r="N243" i="8" s="1"/>
  <c r="N237" i="8"/>
  <c r="N241" i="8" s="1"/>
  <c r="O156" i="8"/>
  <c r="N156" i="8"/>
  <c r="M70" i="8"/>
  <c r="M157" i="8" s="1"/>
  <c r="L70" i="8"/>
  <c r="L157" i="8" s="1"/>
  <c r="K70" i="8"/>
  <c r="K67" i="8" s="1"/>
  <c r="K154" i="8" s="1"/>
  <c r="J70" i="8"/>
  <c r="I70" i="8"/>
  <c r="H70" i="8"/>
  <c r="H67" i="8" s="1"/>
  <c r="H154" i="8" s="1"/>
  <c r="G70" i="8"/>
  <c r="G67" i="8" s="1"/>
  <c r="G154" i="8" s="1"/>
  <c r="F70" i="8"/>
  <c r="E70" i="8"/>
  <c r="D70" i="8"/>
  <c r="N70" i="8"/>
  <c r="O70" i="8"/>
  <c r="O63" i="8"/>
  <c r="N63" i="8"/>
  <c r="F67" i="8" l="1"/>
  <c r="F154" i="8" s="1"/>
  <c r="F157" i="8"/>
  <c r="E67" i="8"/>
  <c r="E154" i="8" s="1"/>
  <c r="E157" i="8"/>
  <c r="D157" i="8"/>
  <c r="D67" i="8"/>
  <c r="D154" i="8" s="1"/>
  <c r="J67" i="8"/>
  <c r="J154" i="8" s="1"/>
  <c r="J157" i="8"/>
  <c r="N157" i="8" s="1"/>
  <c r="O157" i="8"/>
  <c r="O455" i="8" s="1"/>
  <c r="O67" i="8"/>
  <c r="O154" i="8" s="1"/>
  <c r="N67" i="8"/>
  <c r="N154" i="8" s="1"/>
  <c r="N57" i="8"/>
  <c r="O57" i="8"/>
  <c r="O55" i="8"/>
  <c r="N55" i="8"/>
  <c r="N58" i="8" l="1"/>
  <c r="O58" i="8"/>
  <c r="O60" i="8"/>
  <c r="N379" i="8" l="1"/>
  <c r="O379" i="8"/>
  <c r="O377" i="8"/>
  <c r="N377" i="8"/>
  <c r="O371" i="8"/>
  <c r="N371" i="8"/>
  <c r="O369" i="8"/>
  <c r="N369" i="8"/>
  <c r="O367" i="8"/>
  <c r="N367" i="8"/>
  <c r="O365" i="8"/>
  <c r="N365" i="8"/>
  <c r="O363" i="8"/>
  <c r="O361" i="8"/>
  <c r="N361" i="8"/>
  <c r="N352" i="8"/>
  <c r="N353" i="8"/>
  <c r="N360" i="8" s="1"/>
  <c r="N427" i="8" s="1"/>
  <c r="N455" i="8" s="1"/>
  <c r="N354" i="8"/>
  <c r="N359" i="8" l="1"/>
  <c r="N357" i="8"/>
  <c r="O382" i="8"/>
  <c r="N382" i="8"/>
  <c r="O380" i="8"/>
  <c r="N380" i="8"/>
  <c r="N225" i="8" l="1"/>
  <c r="O225" i="8"/>
  <c r="O224" i="8"/>
  <c r="N224" i="8"/>
  <c r="N219" i="8"/>
  <c r="N218" i="8"/>
  <c r="N213" i="8"/>
  <c r="N216" i="8" l="1"/>
  <c r="N214" i="8"/>
  <c r="N220" i="8"/>
  <c r="O220" i="8"/>
  <c r="O222" i="8" s="1"/>
  <c r="O228" i="8" s="1"/>
  <c r="O226" i="8" l="1"/>
  <c r="N222" i="8"/>
  <c r="N228" i="8" s="1"/>
  <c r="N226" i="8"/>
  <c r="N424" i="8"/>
  <c r="O270" i="8"/>
  <c r="O274" i="8" s="1"/>
  <c r="N10" i="8" l="1"/>
  <c r="O10" i="8" l="1"/>
  <c r="O320" i="8"/>
  <c r="N320" i="8"/>
  <c r="M10" i="8"/>
  <c r="L12" i="8" l="1"/>
  <c r="K12" i="8"/>
  <c r="J12" i="8"/>
  <c r="I12" i="8"/>
  <c r="H12" i="8"/>
  <c r="G12" i="8"/>
  <c r="F12" i="8"/>
  <c r="E12" i="8"/>
  <c r="D12" i="8"/>
  <c r="G10" i="8"/>
  <c r="F10" i="8"/>
  <c r="M424" i="8"/>
  <c r="M360" i="8"/>
  <c r="M427" i="8" s="1"/>
  <c r="L360" i="8"/>
  <c r="L427" i="8" s="1"/>
  <c r="K360" i="8"/>
  <c r="K427" i="8" s="1"/>
  <c r="J360" i="8"/>
  <c r="J427" i="8" s="1"/>
  <c r="I360" i="8"/>
  <c r="I427" i="8" s="1"/>
  <c r="H360" i="8"/>
  <c r="H427" i="8" s="1"/>
  <c r="G360" i="8"/>
  <c r="G427" i="8" s="1"/>
  <c r="F360" i="8"/>
  <c r="F427" i="8" s="1"/>
  <c r="E360" i="8"/>
  <c r="E427" i="8" s="1"/>
  <c r="D360" i="8"/>
  <c r="D427" i="8" s="1"/>
  <c r="L350" i="8"/>
  <c r="K350" i="8"/>
  <c r="J350" i="8"/>
  <c r="I350" i="8"/>
  <c r="H350" i="8"/>
  <c r="G350" i="8"/>
  <c r="F350" i="8"/>
  <c r="E350" i="8"/>
  <c r="D350" i="8"/>
  <c r="N315" i="8"/>
  <c r="M244" i="8"/>
  <c r="L244" i="8"/>
  <c r="K244" i="8"/>
  <c r="J244" i="8"/>
  <c r="I244" i="8"/>
  <c r="H244" i="8"/>
  <c r="G244" i="8"/>
  <c r="F244" i="8"/>
  <c r="E244" i="8"/>
  <c r="D244" i="8"/>
  <c r="M220" i="8"/>
  <c r="M226" i="8" s="1"/>
  <c r="K220" i="8"/>
  <c r="K226" i="8" s="1"/>
  <c r="J220" i="8"/>
  <c r="J226" i="8" s="1"/>
  <c r="I220" i="8"/>
  <c r="I226" i="8" s="1"/>
  <c r="H220" i="8"/>
  <c r="H226" i="8" s="1"/>
  <c r="M46" i="8"/>
  <c r="L46" i="8"/>
  <c r="K46" i="8"/>
  <c r="J46" i="8"/>
  <c r="H46" i="8"/>
  <c r="G46" i="8"/>
  <c r="F46" i="8"/>
  <c r="D46" i="8"/>
  <c r="E46" i="8"/>
  <c r="I19" i="8"/>
  <c r="H19" i="8"/>
  <c r="E19" i="8"/>
  <c r="L10" i="8"/>
  <c r="K10" i="8"/>
  <c r="J10" i="8"/>
  <c r="I10" i="8"/>
  <c r="H10" i="8"/>
  <c r="E10" i="8"/>
  <c r="D10" i="8"/>
  <c r="O46" i="8" l="1"/>
  <c r="F455" i="8"/>
  <c r="H455" i="8"/>
  <c r="L455" i="8"/>
  <c r="G455" i="8"/>
  <c r="I455" i="8"/>
  <c r="M455" i="8"/>
  <c r="D19" i="8"/>
  <c r="F19" i="8"/>
  <c r="J19" i="8"/>
  <c r="L19" i="8"/>
  <c r="G19" i="8"/>
  <c r="K19" i="8"/>
  <c r="M19" i="8"/>
  <c r="M50" i="8"/>
  <c r="N12" i="8"/>
  <c r="I48" i="8"/>
  <c r="I52" i="8" s="1"/>
  <c r="K48" i="8"/>
  <c r="K52" i="8" s="1"/>
  <c r="M48" i="8"/>
  <c r="M52" i="8" s="1"/>
  <c r="I222" i="8"/>
  <c r="I228" i="8" s="1"/>
  <c r="K222" i="8"/>
  <c r="K228" i="8" s="1"/>
  <c r="H222" i="8"/>
  <c r="H228" i="8" s="1"/>
  <c r="J222" i="8"/>
  <c r="J228" i="8" s="1"/>
  <c r="M222" i="8"/>
  <c r="M228" i="8" s="1"/>
  <c r="K455" i="8"/>
  <c r="N30" i="8"/>
  <c r="O30" i="8"/>
  <c r="O12" i="8"/>
  <c r="G48" i="8"/>
  <c r="G52" i="8" s="1"/>
  <c r="D455" i="8"/>
  <c r="J455" i="8"/>
  <c r="E424" i="8"/>
  <c r="J424" i="8"/>
  <c r="E455" i="8"/>
  <c r="E241" i="8"/>
  <c r="G241" i="8"/>
  <c r="I241" i="8"/>
  <c r="K241" i="8"/>
  <c r="M241" i="8"/>
  <c r="E243" i="8"/>
  <c r="G243" i="8"/>
  <c r="I243" i="8"/>
  <c r="K243" i="8"/>
  <c r="M243" i="8"/>
  <c r="E322" i="8"/>
  <c r="G322" i="8"/>
  <c r="I322" i="8"/>
  <c r="K322" i="8"/>
  <c r="M322" i="8"/>
  <c r="E324" i="8"/>
  <c r="G324" i="8"/>
  <c r="I324" i="8"/>
  <c r="K324" i="8"/>
  <c r="M324" i="8"/>
  <c r="D426" i="8"/>
  <c r="F426" i="8"/>
  <c r="L426" i="8"/>
  <c r="G426" i="8"/>
  <c r="K426" i="8"/>
  <c r="D241" i="8"/>
  <c r="F241" i="8"/>
  <c r="H241" i="8"/>
  <c r="J241" i="8"/>
  <c r="L241" i="8"/>
  <c r="D243" i="8"/>
  <c r="F243" i="8"/>
  <c r="H243" i="8"/>
  <c r="J243" i="8"/>
  <c r="L243" i="8"/>
  <c r="D322" i="8"/>
  <c r="F322" i="8"/>
  <c r="H322" i="8"/>
  <c r="J322" i="8"/>
  <c r="L322" i="8"/>
  <c r="D324" i="8"/>
  <c r="F324" i="8"/>
  <c r="H324" i="8"/>
  <c r="J324" i="8"/>
  <c r="L324" i="8"/>
  <c r="D424" i="8"/>
  <c r="E426" i="8"/>
  <c r="M426" i="8"/>
  <c r="K424" i="8"/>
  <c r="H426" i="8"/>
  <c r="J426" i="8"/>
  <c r="E48" i="8"/>
  <c r="E52" i="8" s="1"/>
  <c r="G424" i="8"/>
  <c r="F424" i="8"/>
  <c r="H424" i="8"/>
  <c r="L424" i="8"/>
  <c r="D48" i="8"/>
  <c r="D52" i="8" s="1"/>
  <c r="F48" i="8"/>
  <c r="F52" i="8" s="1"/>
  <c r="H48" i="8"/>
  <c r="H52" i="8" s="1"/>
  <c r="J48" i="8"/>
  <c r="J52" i="8" s="1"/>
  <c r="L48" i="8"/>
  <c r="L52" i="8" s="1"/>
  <c r="M452" i="8" l="1"/>
  <c r="M454" i="8"/>
  <c r="K454" i="8"/>
  <c r="L454" i="8"/>
  <c r="O349" i="8"/>
  <c r="N426" i="8"/>
  <c r="N349" i="8"/>
  <c r="O48" i="8"/>
  <c r="N48" i="8"/>
  <c r="N324" i="8"/>
  <c r="O324" i="8"/>
  <c r="O424" i="8" l="1"/>
  <c r="I426" i="8"/>
  <c r="I454" i="8" s="1"/>
  <c r="I424" i="8"/>
  <c r="O426" i="8" l="1"/>
  <c r="D299" i="8"/>
  <c r="E301" i="8" l="1"/>
  <c r="E454" i="8" s="1"/>
  <c r="O38" i="8"/>
  <c r="O42" i="8" s="1"/>
  <c r="O50" i="8" s="1"/>
  <c r="N38" i="8"/>
  <c r="N42" i="8" s="1"/>
  <c r="N50" i="8" l="1"/>
  <c r="N43" i="8"/>
  <c r="O43" i="8"/>
  <c r="O52" i="8" s="1"/>
  <c r="D301" i="8"/>
  <c r="D454" i="8" s="1"/>
  <c r="E50" i="8"/>
  <c r="E452" i="8" s="1"/>
  <c r="D50" i="8"/>
  <c r="D452" i="8" s="1"/>
  <c r="J50" i="8"/>
  <c r="L50" i="8"/>
  <c r="L452" i="8" s="1"/>
  <c r="F50" i="8"/>
  <c r="G50" i="8"/>
  <c r="I50" i="8"/>
  <c r="I452" i="8" s="1"/>
  <c r="K50" i="8"/>
  <c r="K452" i="8" s="1"/>
  <c r="H50" i="8"/>
  <c r="N52" i="8"/>
  <c r="J299" i="8"/>
  <c r="J301" i="8"/>
  <c r="J454" i="8" s="1"/>
  <c r="H299" i="8"/>
  <c r="H301" i="8"/>
  <c r="H454" i="8" s="1"/>
  <c r="G301" i="8"/>
  <c r="G454" i="8" s="1"/>
  <c r="G299" i="8"/>
  <c r="N262" i="8"/>
  <c r="N266" i="8" s="1"/>
  <c r="F301" i="8"/>
  <c r="F454" i="8" s="1"/>
  <c r="N299" i="8" l="1"/>
  <c r="N452" i="8" s="1"/>
  <c r="N301" i="8"/>
  <c r="N454" i="8" s="1"/>
  <c r="O301" i="8"/>
  <c r="O454" i="8" s="1"/>
  <c r="H452" i="8"/>
  <c r="J452" i="8"/>
  <c r="G452" i="8"/>
  <c r="F299" i="8"/>
  <c r="F452" i="8" s="1"/>
  <c r="O262" i="8"/>
  <c r="O266" i="8" s="1"/>
  <c r="O299" i="8" l="1"/>
  <c r="O452" i="8" s="1"/>
</calcChain>
</file>

<file path=xl/sharedStrings.xml><?xml version="1.0" encoding="utf-8"?>
<sst xmlns="http://schemas.openxmlformats.org/spreadsheetml/2006/main" count="513" uniqueCount="215">
  <si>
    <t>План</t>
  </si>
  <si>
    <t>Факт</t>
  </si>
  <si>
    <t>Итого по программе</t>
  </si>
  <si>
    <t>Запланировано по программе на текущий год (тыс.рублей)</t>
  </si>
  <si>
    <r>
      <t xml:space="preserve">Наименование мероприятия </t>
    </r>
    <r>
      <rPr>
        <b/>
        <sz val="14"/>
        <color indexed="10"/>
        <rFont val="Times New Roman"/>
        <family val="1"/>
        <charset val="204"/>
      </rPr>
      <t>(согласно паспорта программы (подпрограммы)!!!</t>
    </r>
  </si>
  <si>
    <t>Фактически утверждено в бюджете на отчетную дату (тыс.руб.)</t>
  </si>
  <si>
    <t>объем исполнения расходных обязательств</t>
  </si>
  <si>
    <t>1 квартал</t>
  </si>
  <si>
    <t>2 квартал</t>
  </si>
  <si>
    <t>3 квартал</t>
  </si>
  <si>
    <t>4 квартал</t>
  </si>
  <si>
    <t>Наименование подпрограммы</t>
  </si>
  <si>
    <t>Итого по подпрограмме</t>
  </si>
  <si>
    <t>Муниципальная программа "Молодежь города Туапсе"</t>
  </si>
  <si>
    <t>Муниципальная программа "Развитие физической культуры и спорта в городе Туапсе"</t>
  </si>
  <si>
    <t>Муниципальная программа "Развитие культуры, искусства и кинематографии города Туапсе"</t>
  </si>
  <si>
    <t>Культура города Туапсе</t>
  </si>
  <si>
    <t>Совершенствование деятельности муниципальных учреждений отрасли "Культура, искусство и кинематография города Туапсе"</t>
  </si>
  <si>
    <t>Муниципальная программа "Социальная поддержка граждан города Туапсе"</t>
  </si>
  <si>
    <t>Развитие мер социальной поддержки отдельных категорий граждан</t>
  </si>
  <si>
    <t>Поддержка социально ориентированных некоммерческих организаций, осуществляющих деятельность в городе Туапсе</t>
  </si>
  <si>
    <t>Муниципальная программа "Комплексное и устойчивое развитие города Туапсе в сфере строительства, архитектуры и дорожного хозяйства"</t>
  </si>
  <si>
    <t>Муниципальная программа "Развитие жилищно-коммунального хозяйства"</t>
  </si>
  <si>
    <t>Благоустройство города Туапсе</t>
  </si>
  <si>
    <t>Муниципальная программа "Социально-экономическое развитие города Туапсе"</t>
  </si>
  <si>
    <t>Городу Воинской Славы Туапсе-новый облик</t>
  </si>
  <si>
    <t>Муниципальная поддержка малого и среднего предпринимательства</t>
  </si>
  <si>
    <t>Муниципальная программа "Информационное общество города Туапсе"</t>
  </si>
  <si>
    <t>Информационный регион</t>
  </si>
  <si>
    <t>Муниципальная программа "Обеспечение безопасности населения"</t>
  </si>
  <si>
    <t xml:space="preserve">Пожарная безопасность в городе Туапсе </t>
  </si>
  <si>
    <t>Профилактика терроризма и экстремизма в городе Туапсе</t>
  </si>
  <si>
    <t>Противодействие коррупции в городе Туапсе</t>
  </si>
  <si>
    <t>Муниципальная программа "Развитие гражданского общества и укрепление единства российской нации на территории города Туапсе"</t>
  </si>
  <si>
    <t>Поддержка деятельности территориального общественного самоуправления</t>
  </si>
  <si>
    <t>Гармонизация межнациональных отношений и развитие национальных культур в городе Туапсе</t>
  </si>
  <si>
    <t>Укрепление единства российской нации на территории города Туапсе</t>
  </si>
  <si>
    <t>Муниципальная программа "Развитие топливно-энергетического комплекса города Туапсе"</t>
  </si>
  <si>
    <t>Газификация города Туапсе</t>
  </si>
  <si>
    <t>Муниципальная программа "Муниципальное управление города Туапсе"</t>
  </si>
  <si>
    <t>Организация муниципального управления</t>
  </si>
  <si>
    <t>Муниципальные финансы</t>
  </si>
  <si>
    <t>Муниципальная программа "Доступная среда"</t>
  </si>
  <si>
    <t>Отдельные мероприятия по управлению реализацией муниципальной программы</t>
  </si>
  <si>
    <t>Физическая культура и спорт (организация и проведение спортивно-массовых мероприятий)</t>
  </si>
  <si>
    <t>Зимнее содержание дорог</t>
  </si>
  <si>
    <t>Организация и проведение различных мероприятий, направленных на формирование нетерпимости в обществе к коррупционному поведению, в рамках ежегодно отмечаемого 9 декабря международного дня борьбы с коррупцией</t>
  </si>
  <si>
    <t>Расходы на содержание МКУ «Центр по обеспечению деятельности органов местного самоуправления»</t>
  </si>
  <si>
    <t>всего</t>
  </si>
  <si>
    <t>Расходы на содержание МКУ «Централизованная бухгалтерия органов местного самоуправления»</t>
  </si>
  <si>
    <t>итого по всем программам</t>
  </si>
  <si>
    <t>Расходы на содержание МКУ Туапсинского городского поселения "Управление по делам ГО и ЧС"</t>
  </si>
  <si>
    <t>Формирование резерва бюджетных средств</t>
  </si>
  <si>
    <t>Реализация мероприятий в сфере торговли и транспорта</t>
  </si>
  <si>
    <t xml:space="preserve">Предоставление субсидии МБУ ТГП "Торговое  и транспортое обслуживание" для осуществления деятельности по реализации вопросов местного значения в области торговли, общественного питания, бытового обслуживания, организации регулярных пассажирских перевозок автомобильным транспортом на территории Туапсинского городского поселения  </t>
  </si>
  <si>
    <r>
      <t xml:space="preserve">Создание и обеспечение деятельности административной комиссии </t>
    </r>
    <r>
      <rPr>
        <b/>
        <sz val="12"/>
        <rFont val="Times New Roman"/>
        <family val="1"/>
        <charset val="204"/>
      </rPr>
      <t xml:space="preserve"> краевой бюджет</t>
    </r>
  </si>
  <si>
    <t>Итого по подпрограмме:</t>
  </si>
  <si>
    <t>Итого по программе :</t>
  </si>
  <si>
    <t>0,0</t>
  </si>
  <si>
    <t>в том числе:</t>
  </si>
  <si>
    <t>за счет средств местного бюджета</t>
  </si>
  <si>
    <t>за счет средств краевого (федерального) бюджета</t>
  </si>
  <si>
    <t>за счет средств краевого (федерального бюджета)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</si>
  <si>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</si>
  <si>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Расходы на обеспечение функций отдела имущественных и земельных отношений</t>
  </si>
  <si>
    <t>Мероприятия,направленные на увеличение доходной части бюджета</t>
  </si>
  <si>
    <t>Информационное обеспечение и сопровождение</t>
  </si>
  <si>
    <t>подпрограмма "Управление муниципальным имуществом и земельными ресурсами"</t>
  </si>
  <si>
    <t>Основное мероприятие "Обеспечение безопасности людей на водных объектах"</t>
  </si>
  <si>
    <t xml:space="preserve">Показатель непосредственного результата реализации мероприятия </t>
  </si>
  <si>
    <t xml:space="preserve">Субсидирование из местного бюджета части затрат на уплату первого взноса при 
заключении договора финансовой аренды (лизинга), понесенных 
субъектами малого и среднего предпринимательства
</t>
  </si>
  <si>
    <t>Подпрограмма «Создание условий для предоставления транспортных услуг населению и организация транспортного обслуживания населения города Туапсе»</t>
  </si>
  <si>
    <t>Приобритение национальных экспонатов для организации (обновления) постоянно действующих экспозиций (выставок) в историко-краеведческом музее им. Полетаева по тематике истории, культуры народов города Туапсе</t>
  </si>
  <si>
    <t xml:space="preserve">Приобритение книг (журналов) для обновления постоянно действующих выставки на базе Центральной библиотечной ситсемы по тематике и культуры народов </t>
  </si>
  <si>
    <t>итого по подпрограмме</t>
  </si>
  <si>
    <t>в том числе местный бюджет</t>
  </si>
  <si>
    <t>Муниципальная программа "Формирование современной городской среды"</t>
  </si>
  <si>
    <t>Отдельные мероприятия муниципальной программы</t>
  </si>
  <si>
    <t>итого за год</t>
  </si>
  <si>
    <r>
      <t xml:space="preserve">Комплектование  книжных фондов библиотек  </t>
    </r>
    <r>
      <rPr>
        <b/>
        <sz val="10"/>
        <rFont val="Arial"/>
        <family val="2"/>
        <charset val="204"/>
      </rPr>
      <t>местный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бюджет</t>
    </r>
  </si>
  <si>
    <r>
      <t xml:space="preserve">Сохранение историко- культурного наследия Туапсинского городского поселения, включающего разработку и раелизацию проектов исследования, восстановления, консервации и музеефикации памятников истории и культуры, их охранных зон  </t>
    </r>
    <r>
      <rPr>
        <b/>
        <sz val="10"/>
        <rFont val="Arial"/>
        <family val="2"/>
        <charset val="204"/>
      </rPr>
      <t>местный бюджет</t>
    </r>
  </si>
  <si>
    <r>
      <t xml:space="preserve">Укрепление материальной базы учреждений культуры, искусства и кинематографии </t>
    </r>
    <r>
      <rPr>
        <b/>
        <sz val="10"/>
        <rFont val="Arial"/>
        <family val="2"/>
        <charset val="204"/>
      </rPr>
      <t xml:space="preserve"> местный  бюджет</t>
    </r>
  </si>
  <si>
    <r>
      <t xml:space="preserve">Развитие народного творчества и профессионального искусства, организация досуга населения </t>
    </r>
    <r>
      <rPr>
        <b/>
        <sz val="10"/>
        <rFont val="Arial"/>
        <family val="2"/>
        <charset val="204"/>
      </rPr>
      <t>местный бюджет</t>
    </r>
  </si>
  <si>
    <r>
      <t xml:space="preserve">Чествование юбиляров, выдающихся деятелей культуры, искусства и кинематографии Туапсинского городского поселения </t>
    </r>
    <r>
      <rPr>
        <b/>
        <sz val="10"/>
        <rFont val="Arial"/>
        <family val="2"/>
        <charset val="204"/>
      </rPr>
      <t>местный бюджет</t>
    </r>
  </si>
  <si>
    <r>
      <t xml:space="preserve">Организация и проведение мероприятий, посвященных памятным датам и знаменательным событиям Международного, Российского и краевого значения, а также иных мероприятий по распоряжениям администрации Туапсинского городского поселения  Туапсинского района и постановлениям Законодательного Собрания Краснодарского края </t>
    </r>
    <r>
      <rPr>
        <b/>
        <sz val="10"/>
        <rFont val="Arial"/>
        <family val="2"/>
        <charset val="204"/>
      </rPr>
      <t>местный бюджет</t>
    </r>
  </si>
  <si>
    <t>Социальная поддержка отдельных категорий граждан</t>
  </si>
  <si>
    <t>Выплата дополнительного материального обеспечения, доплат к пенсиям, пособий и компенсаций 500 руб. на каждого несовершеннолетнего ребенка.</t>
  </si>
  <si>
    <t>Отдельные мероприятия программы</t>
  </si>
  <si>
    <t>Развитие транспортной инфраструктуры города Туапсе</t>
  </si>
  <si>
    <t>Реализация мероприятий муниципальной программы «Информационное общество города Туапсе»</t>
  </si>
  <si>
    <t xml:space="preserve">Мероприятия по профилактике терроризма и экстремизма </t>
  </si>
  <si>
    <t>Расходы на обеспечение деятельности (оказание услуг) муниципальных учреждений по передаваемым полномочиям (участие в профилактике терроризма и экстремизма)</t>
  </si>
  <si>
    <t>Расходы на обеспечение деятельности (оказание услуг) муниципальных учреждений по передаваемым полномочиям (на обеспечение безопасности людей на водных объектах, охране их жизни и здоровья)</t>
  </si>
  <si>
    <t>Премия победителям конкурса «Лучший орган территориального общественного самоуправления»</t>
  </si>
  <si>
    <t>Реализация мероприятий по укреплению единства российской нации на территории города Туапсе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</si>
  <si>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</si>
  <si>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</t>
  </si>
  <si>
    <t>Газопроводы высокого давления</t>
  </si>
  <si>
    <t>Распределительные газопроводы среднего давления</t>
  </si>
  <si>
    <t>Мероприятия по пожарной безопасности</t>
  </si>
  <si>
    <t>Наименование федеральной (государственной) программы</t>
  </si>
  <si>
    <t>Предоставление молодым семьям, в том числе с ребенком(детьми) и молодым семьям при рождении (усыновлении) ребенка, социальных выплат на приобретение жилья, в том числе в виде оплаты первоначального взноса при получении жилищного (ипотечного жилищного) кредита или займа на приобретение(строительство) жилья, а также на погашение основной суммы долга  по этим жилищным кредитам или займам на условиях софинансирования из федерального и краевого бюджетов</t>
  </si>
  <si>
    <t xml:space="preserve">Улучшение жилищных условий населения города Туапсе»
 </t>
  </si>
  <si>
    <t>Внесение органом местного самоуправления обязательных и дополнительных взносов на капитальный ремонт общего имущества за муниципальные помещения, расположенные в многоквартирных домах.</t>
  </si>
  <si>
    <t xml:space="preserve">Капитальный ремонт муниципальных жилых помещений                                                         </t>
  </si>
  <si>
    <t xml:space="preserve">Внесение платы за содержание общего имущества многоквартирного дома и коммунальные услуги за незаселенные жилые и нежилые помещения муниципального жилищного фонда  </t>
  </si>
  <si>
    <t>Оплата за электроснабжение уличного освещения города</t>
  </si>
  <si>
    <t>Выполнение работ по ремонту, регулировке, наладке систем управления уличным освещением, эксплуатации, техническому обслуживанию сетей уличного освещения</t>
  </si>
  <si>
    <t>Содержание фонтанов.</t>
  </si>
  <si>
    <t>Водоснабжение фонтанов и автоматический полив газонов</t>
  </si>
  <si>
    <t>Профилактическая дезинсекция против клещей</t>
  </si>
  <si>
    <t>Химическая и механическая обработка зеленых насаждений от карантинных вредителей и лечение зеленых насаждений (деревьев)</t>
  </si>
  <si>
    <t>Посадка деревьев, в том числе за счет компенсационного озеленения при уничтожении зеленых насаждений</t>
  </si>
  <si>
    <t xml:space="preserve">Валка, обрезка аварийных деревьев </t>
  </si>
  <si>
    <t>Сбор отходов не относящихся к ТКО (бесхозные отработанные шины на территории города Туапсе, их обезвреживание и размещение)</t>
  </si>
  <si>
    <t>Сбор отходов не относящихся к ТКО (древесные остатки и строительного мусора)</t>
  </si>
  <si>
    <t>Осуществление деятельности по обращению с животными без владельцев, обитающих на территории общего пользования, находящихся в муниципальной собственности ТГП, утилизация био. отходов.</t>
  </si>
  <si>
    <t>Приобретение лавочек и урн для благоустройства города</t>
  </si>
  <si>
    <t>Содержание и развитие коммунального хозяйства города Туапсе</t>
  </si>
  <si>
    <t xml:space="preserve">Капитальный ремонт, ремонт автомобильных дорог общего пользования местного значения,  (в целях реализации мероприятий подпрограммы 
«Строительство и реконструкция, капитальный ремонт и ремонт автомобильных дорог общего пользования 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края»)                                                                 
</t>
  </si>
  <si>
    <t xml:space="preserve">Текущий ремонт дорог </t>
  </si>
  <si>
    <t>Ремонт ливневой канализации</t>
  </si>
  <si>
    <t>Текущий ремонт и замена существующих светофорных объектов</t>
  </si>
  <si>
    <t>Создание системы маршрутного ориентирования участников дорожного движения (установка и ремонт дорожных знаков)</t>
  </si>
  <si>
    <t>Создание системы маршрутного ориентирования участников дорожного движения (нанесение дорожной разметки и прочие работы)</t>
  </si>
  <si>
    <t>Внесение изменений в проект организации дорожного движения города Туапсе</t>
  </si>
  <si>
    <t xml:space="preserve"> Подпрограмма «Строительство, реконструкция, капитальный ремонт, ремонт и содержание автомобильных дорог города Туапсе»  </t>
  </si>
  <si>
    <t>Обеспечение доступности для маломобильных граждан наземных пешеходных переходов (обозначенных дорожными знаками и/или разметкой инженерных сооружений или участок проезжей части для движения пешеходов через дорогу), расположенных на автомобильных дорогах местного значения города Туапсе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</si>
  <si>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</t>
  </si>
  <si>
    <t>Проведение совместных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</si>
  <si>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>прочие учреждения, в том числе:</t>
  </si>
  <si>
    <t>Развитие культуры Краснодарского края</t>
  </si>
  <si>
    <t xml:space="preserve">Обеспечение деятельности аварийно-спасательных служб и (или) аварийно-спасательных формирований </t>
  </si>
  <si>
    <t>Распределительные газопроводы среднего и низкого давления по микрорайонам</t>
  </si>
  <si>
    <t>Проектно-изыскательские работы по объекту: "Многофункциональный спортивный комплекс "ТУАПСЕ" по ул.Калараша в г.Туапсе"</t>
  </si>
  <si>
    <t>Государственная программа Краснодарского края "Развитие топливно-энергетического комплекса"</t>
  </si>
  <si>
    <t>Государственная программа Краснодарского края "Развитие жилищно-коммунального хозяйства"</t>
  </si>
  <si>
    <t>Государственная программа Краснодарского края "Доступная среда"</t>
  </si>
  <si>
    <t>Государственная программа Краснодарского края "Развитие сети автомобильных дорог Краснодарского края"</t>
  </si>
  <si>
    <t>Реализация мероприятий муниципальной программы "Молодежь города Туапсе"</t>
  </si>
  <si>
    <t>Ремонт уличного освещения</t>
  </si>
  <si>
    <t>Ликвидация стихийных свалок</t>
  </si>
  <si>
    <t>Ремонт тротуара по ул. Горького</t>
  </si>
  <si>
    <t>Проектно-сметная документация (ремонт), заключение экспертов</t>
  </si>
  <si>
    <t>Комплексная схема организации дорожного движения</t>
  </si>
  <si>
    <t>Подводящий газопровод среднего давления в г.Туапсе по ул. Судоремонтников до ГГРП 6 с установкой ГРП</t>
  </si>
  <si>
    <t>Распределительный газопровод низкого давления от ГРП пер. Тихий в  г. Туапсе</t>
  </si>
  <si>
    <t>Организация внешнего финансового контроля за правомерным и целевым использованием бюджетных средств</t>
  </si>
  <si>
    <t>Выплата процентов по кредитам</t>
  </si>
  <si>
    <t>Формирование расходов на исполнение судебных актов по решениям судебных органов</t>
  </si>
  <si>
    <t>в том числе за счет средств местного бюджета</t>
  </si>
  <si>
    <t>Подготовка градостроительной и землеустроительной документации на территории города Туапсе</t>
  </si>
  <si>
    <t>Проведение комплекса мероприятий, направленных на рациональное территориальное планирование, землеустройство и землепользование</t>
  </si>
  <si>
    <t>Финансовый резерв на предупреждение и ликвидацию ЧС на территории города Туапсе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</si>
  <si>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</si>
  <si>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Распределительный газопровод низкого давления по ул. Тимирязева в г. Туапсе</t>
  </si>
  <si>
    <t>Оценка недвижимости, признание прав и регулирование отношений по муниципальной собственности</t>
  </si>
  <si>
    <t>Формирование (увеличение) уставных фондов муниципальных унитарных предприятий</t>
  </si>
  <si>
    <t>Проведение технической инвентаризации (изготовление технических и кадастровых паспортов, технических и межевых планов, формирование пакета документов для предоставления в орган кадастрового учета для внесения сведений об объектах недвижимости в государственный кадастр недвижимости) объектов недвижимого имущества, в том числе земельных участков, входящих в состав муниципальной казны, и объектов, принимаемых в состав имущества муниципальной казны</t>
  </si>
  <si>
    <t>Проведение текущего ремонта и разработка проектно-сметной документации на проведение работ по ремонту, сносу, демонтажу зданий, строений, сооружений, а так же помещений (жилых и нежилых), входящих в состав муниципальной казны</t>
  </si>
  <si>
    <t>Оплата за коммунальные услуги за незаселенные муниципальные нежилые помещения</t>
  </si>
  <si>
    <t>Оплата работ (услуг), а также налогов (государственных пошлин), связанных с владением, пользованием и распоряжением транспортными средствами, входящими (принимаемыми) в состав муниципальной казны</t>
  </si>
  <si>
    <t>Проведение обзорной проверки бухгалтерской (финансовой) отчетности МУП "Стройзаказчик"</t>
  </si>
  <si>
    <t>Субсидия на выполнение муниципального задания МБУ "Управление земельных ресурсов"</t>
  </si>
  <si>
    <t>,</t>
  </si>
  <si>
    <t>Реконструкция участка дороги по ул.Б.Хмельницкого от остановки общественного транспорта «Кронштадтская» до виадука</t>
  </si>
  <si>
    <t>Паспортизация дорог общего пользования местного значения</t>
  </si>
  <si>
    <t>Создание системы маршрутного ориентирования участников дорожного движения (компо-сигналы)</t>
  </si>
  <si>
    <t>Ремонт уличного освещения (энергосервисный контракт)</t>
  </si>
  <si>
    <t>Плата за технологическое присоединение муниципальных объектов к сетям электроснабжения</t>
  </si>
  <si>
    <t>Ремонт фонтанов</t>
  </si>
  <si>
    <t>Обслуживание систем автоматического полива</t>
  </si>
  <si>
    <t>Благоустройство городского кладбища по        ул. Калараша</t>
  </si>
  <si>
    <t>Содержание городского кладбища по                      ул. Калараша</t>
  </si>
  <si>
    <t>Содержание городского кладбища по                  ул. Бондаренко</t>
  </si>
  <si>
    <t>Инвентаризация городского кладбища ул. Калараша</t>
  </si>
  <si>
    <t>Установка, ремонт и содержание уличного коммунально-бытового оборудования, контейнерных площадок</t>
  </si>
  <si>
    <t>Приобретение специализированной техники (контейнеры)</t>
  </si>
  <si>
    <t>Приобретение аншлагов</t>
  </si>
  <si>
    <t>Содержание и развитие жилищного хозяйства города Туапсе</t>
  </si>
  <si>
    <t>Выполнение капитального ремонта внутриквартирных инженерных систем электроснабжения, холодного и горячего водоснабжения, тепломнабжения, газового оборудования в муниципальных жилых помещениях, с приведением их в соответствие с требованиями федерального законодательства об энергосбережении</t>
  </si>
  <si>
    <r>
      <t xml:space="preserve">предоставление субсидий учреждениям культуры </t>
    </r>
    <r>
      <rPr>
        <b/>
        <sz val="10"/>
        <rFont val="Times New Roman"/>
        <family val="1"/>
        <charset val="204"/>
      </rPr>
      <t>местный бюджет</t>
    </r>
  </si>
  <si>
    <r>
      <t xml:space="preserve">предоставление субсидий учреждениям кинематографии </t>
    </r>
    <r>
      <rPr>
        <b/>
        <sz val="10"/>
        <rFont val="Times New Roman"/>
        <family val="1"/>
        <charset val="204"/>
      </rPr>
      <t>местный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</si>
  <si>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0"/>
        <rFont val="Times New Roman"/>
        <family val="1"/>
        <charset val="204"/>
      </rPr>
      <t>краевой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</si>
  <si>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0"/>
        <rFont val="Times New Roman"/>
        <family val="1"/>
        <charset val="204"/>
      </rPr>
      <t>федеральный бюджет</t>
    </r>
  </si>
  <si>
    <r>
      <t xml:space="preserve">обеспечение деятельности Централизованной библиотечной системы </t>
    </r>
    <r>
      <rPr>
        <b/>
        <sz val="10"/>
        <rFont val="Times New Roman"/>
        <family val="1"/>
        <charset val="204"/>
      </rPr>
      <t>местный бюджет</t>
    </r>
  </si>
  <si>
    <r>
      <t xml:space="preserve">обеспечение деятельности Городского организационно- методического центра </t>
    </r>
    <r>
      <rPr>
        <b/>
        <sz val="10"/>
        <rFont val="Times New Roman"/>
        <family val="1"/>
        <charset val="204"/>
      </rPr>
      <t xml:space="preserve"> местный бюджет</t>
    </r>
  </si>
  <si>
    <r>
      <t xml:space="preserve">обеспечение деятельности Централизованной бухгалтерии культуры </t>
    </r>
    <r>
      <rPr>
        <b/>
        <sz val="10"/>
        <rFont val="Times New Roman"/>
        <family val="1"/>
        <charset val="204"/>
      </rPr>
      <t>местный бюджет</t>
    </r>
  </si>
  <si>
    <r>
      <t xml:space="preserve">предоставление субсидий местным бюджетам МО КК в целях финансового обеспечения расходных обязательств МО КК в части ремонта и укрепления материально- технической базы, технического оснащения муниципальных учреждений культуры  и (или) детских музыкальных школ, художественных школ, школ искусств, домов детского творчества, функции и полномочия учредителя в отношении которых осуществляют органы местного самоуправления МО КК </t>
    </r>
    <r>
      <rPr>
        <b/>
        <sz val="10"/>
        <color theme="1"/>
        <rFont val="Times New Roman"/>
        <family val="1"/>
        <charset val="204"/>
      </rPr>
      <t>краевой бюджет</t>
    </r>
  </si>
  <si>
    <t>Ремонт муниципальных детских и спортивных площадок, а также оборудования, расположенного на них</t>
  </si>
  <si>
    <t>Благоустройство пляжа</t>
  </si>
  <si>
    <t>Ремонт лестниц города</t>
  </si>
  <si>
    <t>Ремонт автомобильных и пешеходных мостов через реки города Туапсе</t>
  </si>
  <si>
    <t>Устройство пешеходного перехода по ул.Фрунзе в районе дома №24 в г.Туапсе</t>
  </si>
  <si>
    <t>Комплекс измерений по приемочному контролю качества нанесенных линий дорожной разметки полностью по нанесенному пункту</t>
  </si>
  <si>
    <t xml:space="preserve">Мероприятия по гражданской обороне, предуприждению и ликвидации ЧС, стихийных бедствий и их последствий в г.Туапсе </t>
  </si>
  <si>
    <t>Резервный фонд администрации Туапсинского городского поселения</t>
  </si>
  <si>
    <t>Поощрение победителей краевого смотра-конкурса на звание "Лучший орган территориального общественного самоуправления"</t>
  </si>
  <si>
    <t>Распределительные газопроводы низкого давления по жилого дома №36 до жилого дома №47 по ул.Калараша в г. Туапсе</t>
  </si>
  <si>
    <t>Мероприятия по техническому обслуживанию, эксплуатации и ремонту</t>
  </si>
  <si>
    <t>Корректировка схемы газоснабжения</t>
  </si>
  <si>
    <t>Экспертиза промышленной безопасности двух подземных резервуаров сжиженного</t>
  </si>
  <si>
    <r>
      <t xml:space="preserve">Мониторинг выполнения Сетевого план-графика расходования бюджетных средств программным методом по состоянию на  30.09.2021
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</si>
  <si>
    <r>
      <t xml:space="preserve">осуществление капитального ремонта  учреждениями культуры в рамках реализации мероприятий по решению социально- значимых вопросов </t>
    </r>
    <r>
      <rPr>
        <b/>
        <sz val="10"/>
        <color theme="1"/>
        <rFont val="Times New Roman"/>
        <family val="1"/>
        <charset val="204"/>
      </rPr>
      <t>краевой бюджет</t>
    </r>
  </si>
  <si>
    <t>Развитие водоснабжения города Туапсе</t>
  </si>
  <si>
    <t>Развитие водоотведения города Туапсе</t>
  </si>
  <si>
    <t xml:space="preserve">Создание условий для выполнения органами местного самоуправления своих полномочий </t>
  </si>
  <si>
    <t>Вывоз ТКО с городского кладбища по ул. Калараша</t>
  </si>
  <si>
    <t xml:space="preserve"> Ликвидация последствий чрезвычайной ситуации на автомобильной дороге по ул.Калараша на пересечении с ул.Портовиков (проект)</t>
  </si>
  <si>
    <t xml:space="preserve"> Ликвидация последствий чрезвычайной ситуации на автомобильной дороге по ул.Калараша в районе земельного участка с кадастровым номером 23:51:0201001:2891 в г.Туапсе . (проект)</t>
  </si>
  <si>
    <t>Благоустройство дворовых городских территорий и муниципальных территорий общего пользования города Туапсе</t>
  </si>
  <si>
    <t>Реализация мероприятий муниципальной программы "Формирование современной городской среды на 2018-2024 годы на территории Туапсинского городского поселения Туапсинского района"</t>
  </si>
  <si>
    <t>Реализация федерального проекта "Формирование комфортной городской среды"</t>
  </si>
  <si>
    <t>Реализация программ формирования современной городской среды                          за счет средств местного бюджета</t>
  </si>
  <si>
    <t>за счет средств краевого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</si>
</sst>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"/>
    <numFmt numFmtId="168" formatCode="#,##0.0_ ;\-#,##0.0\ 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theme="4"/>
      <name val="Times New Roman"/>
      <family val="1"/>
      <charset val="204"/>
    </font>
    <font>
      <b/>
      <sz val="10"/>
      <color theme="4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</font>
    <font>
      <sz val="10"/>
      <color theme="1"/>
      <name val="Calibri"/>
      <family val="2"/>
      <charset val="204"/>
      <scheme val="minor"/>
    </font>
    <font>
      <sz val="10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165" fontId="6" fillId="0" borderId="0"/>
    <xf numFmtId="164" fontId="1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</cellStyleXfs>
  <cellXfs count="718">
    <xf numFmtId="0" fontId="0" fillId="0" borderId="0" xfId="0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1" fillId="0" borderId="0" xfId="1"/>
    <xf numFmtId="0" fontId="1" fillId="0" borderId="3" xfId="1" applyBorder="1"/>
    <xf numFmtId="0" fontId="4" fillId="3" borderId="17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165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horizontal="center" vertical="center" wrapText="1"/>
    </xf>
    <xf numFmtId="0" fontId="21" fillId="3" borderId="3" xfId="7" applyFont="1" applyFill="1" applyBorder="1" applyAlignment="1" applyProtection="1">
      <alignment horizontal="left" vertical="top" wrapText="1"/>
    </xf>
    <xf numFmtId="0" fontId="5" fillId="3" borderId="3" xfId="0" applyFont="1" applyFill="1" applyBorder="1" applyAlignment="1" applyProtection="1">
      <alignment horizontal="center" vertical="center" wrapText="1"/>
    </xf>
    <xf numFmtId="165" fontId="5" fillId="3" borderId="3" xfId="6" applyNumberFormat="1" applyFont="1" applyFill="1" applyBorder="1" applyAlignment="1" applyProtection="1">
      <alignment horizontal="center" vertical="center" wrapText="1"/>
    </xf>
    <xf numFmtId="0" fontId="1" fillId="3" borderId="3" xfId="1" applyFill="1" applyBorder="1"/>
    <xf numFmtId="165" fontId="5" fillId="3" borderId="7" xfId="3" applyNumberFormat="1" applyFont="1" applyFill="1" applyBorder="1" applyAlignment="1" applyProtection="1">
      <alignment horizontal="center" vertical="center" wrapText="1"/>
      <protection locked="0"/>
    </xf>
    <xf numFmtId="164" fontId="5" fillId="3" borderId="3" xfId="6" applyFont="1" applyFill="1" applyBorder="1" applyAlignment="1" applyProtection="1">
      <alignment horizontal="center" vertical="center" wrapText="1"/>
    </xf>
    <xf numFmtId="165" fontId="29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/>
    <xf numFmtId="0" fontId="18" fillId="5" borderId="3" xfId="1" applyFont="1" applyFill="1" applyBorder="1" applyAlignment="1">
      <alignment horizontal="center" vertical="center" wrapText="1"/>
    </xf>
    <xf numFmtId="165" fontId="29" fillId="3" borderId="23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19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3" xfId="3" applyNumberFormat="1" applyFont="1" applyFill="1" applyBorder="1" applyAlignment="1" applyProtection="1">
      <alignment horizontal="left" vertical="center" wrapText="1"/>
      <protection locked="0"/>
    </xf>
    <xf numFmtId="0" fontId="15" fillId="3" borderId="3" xfId="1" applyFont="1" applyFill="1" applyBorder="1" applyAlignment="1">
      <alignment horizontal="right" vertical="center"/>
    </xf>
    <xf numFmtId="0" fontId="23" fillId="3" borderId="3" xfId="0" applyFont="1" applyFill="1" applyBorder="1" applyAlignment="1">
      <alignment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16" fillId="3" borderId="3" xfId="1" applyFont="1" applyFill="1" applyBorder="1" applyAlignment="1" applyProtection="1">
      <alignment horizontal="left" vertical="center" wrapText="1"/>
      <protection locked="0"/>
    </xf>
    <xf numFmtId="166" fontId="28" fillId="3" borderId="3" xfId="6" applyNumberFormat="1" applyFont="1" applyFill="1" applyBorder="1" applyAlignment="1" applyProtection="1">
      <alignment horizontal="right" vertical="center" wrapText="1"/>
    </xf>
    <xf numFmtId="0" fontId="4" fillId="6" borderId="15" xfId="1" applyFont="1" applyFill="1" applyBorder="1" applyAlignment="1" applyProtection="1">
      <alignment horizontal="center" vertical="center" wrapText="1"/>
      <protection locked="0"/>
    </xf>
    <xf numFmtId="165" fontId="5" fillId="6" borderId="19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3" xfId="1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</xf>
    <xf numFmtId="165" fontId="5" fillId="6" borderId="3" xfId="6" applyNumberFormat="1" applyFont="1" applyFill="1" applyBorder="1" applyAlignment="1" applyProtection="1">
      <alignment horizontal="center" vertical="center" wrapText="1"/>
    </xf>
    <xf numFmtId="165" fontId="5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 wrapText="1"/>
    </xf>
    <xf numFmtId="0" fontId="23" fillId="3" borderId="8" xfId="0" applyFont="1" applyFill="1" applyBorder="1" applyAlignment="1">
      <alignment vertical="center" wrapText="1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19" xfId="1" applyFont="1" applyFill="1" applyBorder="1" applyAlignment="1" applyProtection="1">
      <alignment horizontal="center" vertical="center" wrapText="1"/>
      <protection locked="0"/>
    </xf>
    <xf numFmtId="0" fontId="4" fillId="6" borderId="17" xfId="1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left" vertical="center" wrapText="1"/>
      <protection locked="0"/>
    </xf>
    <xf numFmtId="165" fontId="5" fillId="6" borderId="9" xfId="3" applyNumberFormat="1" applyFont="1" applyFill="1" applyBorder="1" applyAlignment="1" applyProtection="1">
      <alignment horizontal="center" vertical="center" wrapText="1"/>
      <protection locked="0"/>
    </xf>
    <xf numFmtId="0" fontId="23" fillId="6" borderId="3" xfId="0" applyFont="1" applyFill="1" applyBorder="1" applyAlignment="1">
      <alignment vertical="center" wrapText="1"/>
    </xf>
    <xf numFmtId="0" fontId="23" fillId="6" borderId="8" xfId="0" applyFont="1" applyFill="1" applyBorder="1" applyAlignment="1">
      <alignment vertical="center" wrapText="1"/>
    </xf>
    <xf numFmtId="0" fontId="12" fillId="3" borderId="3" xfId="1" applyFont="1" applyFill="1" applyBorder="1" applyAlignment="1">
      <alignment horizontal="center"/>
    </xf>
    <xf numFmtId="0" fontId="12" fillId="3" borderId="3" xfId="1" applyFont="1" applyFill="1" applyBorder="1"/>
    <xf numFmtId="0" fontId="12" fillId="3" borderId="4" xfId="1" applyFont="1" applyFill="1" applyBorder="1"/>
    <xf numFmtId="0" fontId="12" fillId="3" borderId="4" xfId="1" applyFont="1" applyFill="1" applyBorder="1" applyAlignment="1">
      <alignment horizontal="center"/>
    </xf>
    <xf numFmtId="2" fontId="12" fillId="3" borderId="3" xfId="1" applyNumberFormat="1" applyFont="1" applyFill="1" applyBorder="1" applyAlignment="1">
      <alignment horizontal="center"/>
    </xf>
    <xf numFmtId="2" fontId="21" fillId="6" borderId="3" xfId="0" applyNumberFormat="1" applyFont="1" applyFill="1" applyBorder="1" applyAlignment="1">
      <alignment horizontal="right" vertical="center" wrapText="1"/>
    </xf>
    <xf numFmtId="165" fontId="5" fillId="6" borderId="3" xfId="3" applyNumberFormat="1" applyFont="1" applyFill="1" applyBorder="1" applyAlignment="1" applyProtection="1">
      <alignment horizontal="right" vertical="center" wrapText="1"/>
      <protection locked="0"/>
    </xf>
    <xf numFmtId="165" fontId="25" fillId="3" borderId="3" xfId="6" applyNumberFormat="1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Protection="1">
      <protection locked="0"/>
    </xf>
    <xf numFmtId="165" fontId="29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16" fillId="6" borderId="3" xfId="1" applyFont="1" applyFill="1" applyBorder="1" applyAlignment="1" applyProtection="1">
      <alignment horizontal="left" vertical="center" wrapText="1"/>
      <protection locked="0"/>
    </xf>
    <xf numFmtId="0" fontId="4" fillId="6" borderId="22" xfId="1" applyFont="1" applyFill="1" applyBorder="1" applyAlignment="1" applyProtection="1">
      <alignment horizontal="center" vertical="center" wrapText="1"/>
      <protection locked="0"/>
    </xf>
    <xf numFmtId="0" fontId="4" fillId="6" borderId="19" xfId="1" applyFont="1" applyFill="1" applyBorder="1" applyAlignment="1" applyProtection="1">
      <alignment horizontal="center" vertical="center" wrapText="1"/>
      <protection locked="0"/>
    </xf>
    <xf numFmtId="165" fontId="5" fillId="6" borderId="22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27" fillId="3" borderId="19" xfId="1" applyFont="1" applyFill="1" applyBorder="1" applyAlignment="1" applyProtection="1">
      <alignment horizontal="center" vertical="center" wrapText="1"/>
      <protection locked="0"/>
    </xf>
    <xf numFmtId="0" fontId="10" fillId="6" borderId="31" xfId="1" applyFont="1" applyFill="1" applyBorder="1" applyAlignment="1" applyProtection="1">
      <alignment horizontal="center" vertical="center" wrapText="1"/>
      <protection locked="0"/>
    </xf>
    <xf numFmtId="0" fontId="25" fillId="6" borderId="19" xfId="0" applyFont="1" applyFill="1" applyBorder="1" applyAlignment="1">
      <alignment horizontal="left" vertical="top" wrapText="1"/>
    </xf>
    <xf numFmtId="0" fontId="4" fillId="6" borderId="31" xfId="1" applyFont="1" applyFill="1" applyBorder="1" applyAlignment="1" applyProtection="1">
      <alignment horizontal="center" vertical="center" wrapText="1"/>
      <protection locked="0"/>
    </xf>
    <xf numFmtId="0" fontId="4" fillId="6" borderId="4" xfId="1" applyFont="1" applyFill="1" applyBorder="1" applyAlignment="1" applyProtection="1">
      <alignment horizontal="center" vertical="center" wrapText="1"/>
      <protection locked="0"/>
    </xf>
    <xf numFmtId="0" fontId="25" fillId="6" borderId="3" xfId="0" applyFont="1" applyFill="1" applyBorder="1" applyAlignment="1">
      <alignment horizontal="left" vertical="top" wrapText="1"/>
    </xf>
    <xf numFmtId="0" fontId="32" fillId="6" borderId="3" xfId="0" applyFont="1" applyFill="1" applyBorder="1" applyAlignment="1">
      <alignment horizontal="center" vertical="center" wrapText="1"/>
    </xf>
    <xf numFmtId="0" fontId="1" fillId="6" borderId="3" xfId="1" applyFill="1" applyBorder="1" applyProtection="1">
      <protection locked="0"/>
    </xf>
    <xf numFmtId="0" fontId="29" fillId="6" borderId="19" xfId="3" applyNumberFormat="1" applyFont="1" applyFill="1" applyBorder="1" applyAlignment="1" applyProtection="1">
      <alignment horizontal="center" vertical="center" wrapText="1"/>
      <protection locked="0"/>
    </xf>
    <xf numFmtId="0" fontId="23" fillId="6" borderId="3" xfId="1" applyFont="1" applyFill="1" applyBorder="1" applyAlignment="1">
      <alignment horizontal="left" vertical="top" wrapText="1"/>
    </xf>
    <xf numFmtId="0" fontId="23" fillId="6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3" xfId="1" applyFill="1" applyBorder="1"/>
    <xf numFmtId="165" fontId="21" fillId="3" borderId="3" xfId="6" applyNumberFormat="1" applyFont="1" applyFill="1" applyBorder="1" applyAlignment="1" applyProtection="1">
      <alignment horizontal="center" vertical="center" wrapText="1"/>
      <protection locked="0"/>
    </xf>
    <xf numFmtId="167" fontId="16" fillId="3" borderId="3" xfId="4" applyNumberFormat="1" applyFont="1" applyFill="1" applyBorder="1" applyAlignment="1">
      <alignment horizontal="center" vertical="center" wrapText="1"/>
    </xf>
    <xf numFmtId="167" fontId="16" fillId="3" borderId="3" xfId="4" applyNumberFormat="1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center" vertical="center"/>
    </xf>
    <xf numFmtId="166" fontId="23" fillId="3" borderId="3" xfId="1" applyNumberFormat="1" applyFont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167" fontId="16" fillId="3" borderId="3" xfId="4" applyNumberFormat="1" applyFont="1" applyFill="1" applyBorder="1" applyAlignment="1">
      <alignment horizontal="center" vertical="top"/>
    </xf>
    <xf numFmtId="0" fontId="23" fillId="3" borderId="3" xfId="1" applyFont="1" applyFill="1" applyBorder="1" applyAlignment="1">
      <alignment horizontal="center" vertical="top"/>
    </xf>
    <xf numFmtId="0" fontId="1" fillId="3" borderId="22" xfId="1" applyFill="1" applyBorder="1" applyAlignment="1"/>
    <xf numFmtId="0" fontId="23" fillId="3" borderId="7" xfId="0" applyFont="1" applyFill="1" applyBorder="1" applyAlignment="1">
      <alignment vertical="center" wrapText="1"/>
    </xf>
    <xf numFmtId="0" fontId="0" fillId="6" borderId="3" xfId="0" applyFill="1" applyBorder="1" applyAlignment="1">
      <alignment horizontal="center" vertical="center" wrapText="1"/>
    </xf>
    <xf numFmtId="0" fontId="23" fillId="3" borderId="3" xfId="1" applyFont="1" applyFill="1" applyBorder="1"/>
    <xf numFmtId="0" fontId="23" fillId="3" borderId="3" xfId="1" applyFont="1" applyFill="1" applyBorder="1" applyAlignment="1">
      <alignment horizontal="center"/>
    </xf>
    <xf numFmtId="165" fontId="5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5" fillId="6" borderId="28" xfId="0" applyFont="1" applyFill="1" applyBorder="1" applyAlignment="1" applyProtection="1">
      <alignment horizontal="center" vertical="center" wrapText="1"/>
    </xf>
    <xf numFmtId="0" fontId="23" fillId="6" borderId="7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vertical="center" wrapText="1"/>
    </xf>
    <xf numFmtId="0" fontId="29" fillId="6" borderId="3" xfId="3" applyNumberFormat="1" applyFont="1" applyFill="1" applyBorder="1" applyAlignment="1" applyProtection="1">
      <alignment horizontal="center" vertical="center" wrapText="1"/>
      <protection locked="0"/>
    </xf>
    <xf numFmtId="166" fontId="11" fillId="3" borderId="3" xfId="0" applyNumberFormat="1" applyFont="1" applyFill="1" applyBorder="1" applyAlignment="1" applyProtection="1">
      <alignment horizontal="right" vertical="center"/>
      <protection locked="0"/>
    </xf>
    <xf numFmtId="166" fontId="3" fillId="3" borderId="3" xfId="0" applyNumberFormat="1" applyFont="1" applyFill="1" applyBorder="1" applyAlignment="1" applyProtection="1">
      <alignment horizontal="right" vertical="center"/>
      <protection locked="0"/>
    </xf>
    <xf numFmtId="166" fontId="28" fillId="3" borderId="8" xfId="6" applyNumberFormat="1" applyFont="1" applyFill="1" applyBorder="1" applyAlignment="1" applyProtection="1">
      <alignment horizontal="right" vertical="center" wrapText="1"/>
    </xf>
    <xf numFmtId="0" fontId="2" fillId="3" borderId="8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4" fillId="3" borderId="21" xfId="1" applyFont="1" applyFill="1" applyBorder="1" applyAlignment="1" applyProtection="1">
      <alignment horizontal="center" vertical="center" wrapText="1"/>
      <protection locked="0"/>
    </xf>
    <xf numFmtId="0" fontId="29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Fill="1" applyBorder="1"/>
    <xf numFmtId="0" fontId="15" fillId="3" borderId="7" xfId="1" applyFont="1" applyFill="1" applyBorder="1"/>
    <xf numFmtId="166" fontId="15" fillId="3" borderId="7" xfId="1" applyNumberFormat="1" applyFont="1" applyFill="1" applyBorder="1"/>
    <xf numFmtId="0" fontId="0" fillId="3" borderId="3" xfId="0" applyFill="1" applyBorder="1" applyAlignment="1">
      <alignment horizontal="center" vertical="center"/>
    </xf>
    <xf numFmtId="2" fontId="28" fillId="3" borderId="28" xfId="6" applyNumberFormat="1" applyFont="1" applyFill="1" applyBorder="1" applyAlignment="1" applyProtection="1">
      <alignment horizontal="right" vertical="center" wrapText="1"/>
    </xf>
    <xf numFmtId="2" fontId="28" fillId="3" borderId="3" xfId="6" applyNumberFormat="1" applyFont="1" applyFill="1" applyBorder="1" applyAlignment="1" applyProtection="1">
      <alignment horizontal="right" vertical="center" wrapText="1"/>
    </xf>
    <xf numFmtId="2" fontId="11" fillId="3" borderId="3" xfId="0" applyNumberFormat="1" applyFont="1" applyFill="1" applyBorder="1" applyAlignment="1" applyProtection="1">
      <alignment horizontal="right" vertical="center"/>
      <protection locked="0"/>
    </xf>
    <xf numFmtId="2" fontId="28" fillId="3" borderId="8" xfId="6" applyNumberFormat="1" applyFont="1" applyFill="1" applyBorder="1" applyAlignment="1" applyProtection="1">
      <alignment horizontal="right" vertical="center" wrapText="1"/>
    </xf>
    <xf numFmtId="2" fontId="11" fillId="3" borderId="8" xfId="0" applyNumberFormat="1" applyFont="1" applyFill="1" applyBorder="1" applyAlignment="1" applyProtection="1">
      <alignment horizontal="right" vertical="center"/>
      <protection locked="0"/>
    </xf>
    <xf numFmtId="0" fontId="18" fillId="5" borderId="22" xfId="1" applyFont="1" applyFill="1" applyBorder="1" applyAlignment="1">
      <alignment horizontal="center" vertical="center" wrapText="1"/>
    </xf>
    <xf numFmtId="166" fontId="24" fillId="3" borderId="3" xfId="6" applyNumberFormat="1" applyFont="1" applyFill="1" applyBorder="1" applyAlignment="1" applyProtection="1">
      <alignment horizontal="center" vertical="center" wrapText="1"/>
    </xf>
    <xf numFmtId="166" fontId="25" fillId="3" borderId="3" xfId="6" applyNumberFormat="1" applyFont="1" applyFill="1" applyBorder="1" applyAlignment="1" applyProtection="1">
      <alignment horizontal="right" vertical="center" wrapText="1"/>
    </xf>
    <xf numFmtId="166" fontId="25" fillId="3" borderId="3" xfId="0" applyNumberFormat="1" applyFont="1" applyFill="1" applyBorder="1" applyAlignment="1" applyProtection="1">
      <alignment horizontal="right" vertical="center"/>
      <protection locked="0"/>
    </xf>
    <xf numFmtId="2" fontId="24" fillId="3" borderId="3" xfId="6" applyNumberFormat="1" applyFont="1" applyFill="1" applyBorder="1" applyAlignment="1" applyProtection="1">
      <alignment horizontal="center" vertical="center" wrapText="1"/>
    </xf>
    <xf numFmtId="166" fontId="23" fillId="3" borderId="3" xfId="1" applyNumberFormat="1" applyFont="1" applyFill="1" applyBorder="1" applyAlignment="1">
      <alignment horizontal="center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8" xfId="1" applyFont="1" applyFill="1" applyBorder="1" applyAlignment="1" applyProtection="1">
      <alignment horizontal="center" vertical="center" wrapText="1"/>
      <protection locked="0"/>
    </xf>
    <xf numFmtId="0" fontId="2" fillId="3" borderId="10" xfId="1" applyFont="1" applyFill="1" applyBorder="1" applyAlignment="1" applyProtection="1">
      <alignment horizontal="center" vertical="center" wrapText="1"/>
      <protection locked="0"/>
    </xf>
    <xf numFmtId="0" fontId="29" fillId="6" borderId="0" xfId="3" applyNumberFormat="1" applyFont="1" applyFill="1" applyBorder="1" applyAlignment="1" applyProtection="1">
      <alignment horizontal="center" vertical="center" wrapText="1"/>
      <protection locked="0"/>
    </xf>
    <xf numFmtId="0" fontId="16" fillId="6" borderId="4" xfId="1" applyFont="1" applyFill="1" applyBorder="1" applyAlignment="1" applyProtection="1">
      <alignment horizontal="center" vertical="center" wrapText="1"/>
      <protection locked="0"/>
    </xf>
    <xf numFmtId="0" fontId="29" fillId="6" borderId="4" xfId="3" applyNumberFormat="1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right" vertical="center"/>
      <protection locked="0"/>
    </xf>
    <xf numFmtId="49" fontId="3" fillId="3" borderId="10" xfId="0" applyNumberFormat="1" applyFont="1" applyFill="1" applyBorder="1" applyAlignment="1" applyProtection="1">
      <alignment horizontal="right" vertical="center"/>
      <protection locked="0"/>
    </xf>
    <xf numFmtId="166" fontId="15" fillId="3" borderId="26" xfId="1" applyNumberFormat="1" applyFont="1" applyFill="1" applyBorder="1"/>
    <xf numFmtId="165" fontId="5" fillId="6" borderId="35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applyFill="1" applyBorder="1" applyAlignment="1">
      <alignment horizontal="center" vertical="center"/>
    </xf>
    <xf numFmtId="165" fontId="5" fillId="6" borderId="4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4" xfId="3" applyNumberFormat="1" applyFont="1" applyFill="1" applyBorder="1" applyAlignment="1" applyProtection="1">
      <alignment horizontal="left" vertical="center" wrapText="1"/>
      <protection locked="0"/>
    </xf>
    <xf numFmtId="0" fontId="1" fillId="3" borderId="4" xfId="1" applyFill="1" applyBorder="1"/>
    <xf numFmtId="165" fontId="5" fillId="3" borderId="4" xfId="3" applyNumberFormat="1" applyFont="1" applyFill="1" applyBorder="1" applyAlignment="1" applyProtection="1">
      <alignment horizontal="center" vertical="center" wrapText="1"/>
      <protection locked="0"/>
    </xf>
    <xf numFmtId="165" fontId="5" fillId="6" borderId="32" xfId="3" applyNumberFormat="1" applyFont="1" applyFill="1" applyBorder="1" applyAlignment="1" applyProtection="1">
      <alignment horizontal="center" vertical="center" wrapText="1"/>
      <protection locked="0"/>
    </xf>
    <xf numFmtId="2" fontId="21" fillId="6" borderId="4" xfId="0" applyNumberFormat="1" applyFont="1" applyFill="1" applyBorder="1" applyAlignment="1">
      <alignment horizontal="right" vertical="center" wrapText="1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33" xfId="1" applyFont="1" applyFill="1" applyBorder="1" applyAlignment="1" applyProtection="1">
      <alignment horizontal="center" vertical="center" wrapText="1"/>
      <protection locked="0"/>
    </xf>
    <xf numFmtId="0" fontId="1" fillId="0" borderId="22" xfId="1" applyBorder="1"/>
    <xf numFmtId="0" fontId="1" fillId="0" borderId="3" xfId="1" applyBorder="1" applyProtection="1">
      <protection locked="0"/>
    </xf>
    <xf numFmtId="0" fontId="12" fillId="3" borderId="4" xfId="0" applyFont="1" applyFill="1" applyBorder="1" applyProtection="1">
      <protection locked="0"/>
    </xf>
    <xf numFmtId="0" fontId="1" fillId="3" borderId="3" xfId="1" applyFill="1" applyBorder="1" applyProtection="1">
      <protection locked="0"/>
    </xf>
    <xf numFmtId="0" fontId="1" fillId="3" borderId="0" xfId="1" applyFill="1"/>
    <xf numFmtId="0" fontId="1" fillId="3" borderId="0" xfId="1" applyFill="1" applyProtection="1">
      <protection locked="0"/>
    </xf>
    <xf numFmtId="166" fontId="23" fillId="2" borderId="3" xfId="1" applyNumberFormat="1" applyFont="1" applyFill="1" applyBorder="1" applyAlignment="1">
      <alignment horizontal="center" vertical="center"/>
    </xf>
    <xf numFmtId="166" fontId="21" fillId="3" borderId="22" xfId="1" applyNumberFormat="1" applyFont="1" applyFill="1" applyBorder="1" applyAlignment="1">
      <alignment horizontal="center" vertical="center"/>
    </xf>
    <xf numFmtId="166" fontId="1" fillId="3" borderId="3" xfId="1" applyNumberFormat="1" applyFill="1" applyBorder="1" applyAlignment="1">
      <alignment horizontal="center" vertical="center"/>
    </xf>
    <xf numFmtId="166" fontId="30" fillId="3" borderId="22" xfId="1" applyNumberFormat="1" applyFont="1" applyFill="1" applyBorder="1" applyAlignment="1">
      <alignment horizontal="center" vertical="center"/>
    </xf>
    <xf numFmtId="166" fontId="15" fillId="3" borderId="3" xfId="1" applyNumberFormat="1" applyFont="1" applyFill="1" applyBorder="1" applyAlignment="1">
      <alignment horizontal="center" vertical="center"/>
    </xf>
    <xf numFmtId="164" fontId="15" fillId="6" borderId="3" xfId="1" applyNumberFormat="1" applyFont="1" applyFill="1" applyBorder="1" applyAlignment="1" applyProtection="1">
      <alignment horizontal="center" vertical="center"/>
      <protection locked="0"/>
    </xf>
    <xf numFmtId="0" fontId="34" fillId="3" borderId="3" xfId="0" applyFont="1" applyFill="1" applyBorder="1" applyAlignment="1">
      <alignment horizontal="center" vertical="center" wrapText="1"/>
    </xf>
    <xf numFmtId="9" fontId="12" fillId="3" borderId="3" xfId="1" applyNumberFormat="1" applyFont="1" applyFill="1" applyBorder="1"/>
    <xf numFmtId="0" fontId="1" fillId="0" borderId="3" xfId="1" applyFill="1" applyBorder="1" applyProtection="1">
      <protection locked="0"/>
    </xf>
    <xf numFmtId="0" fontId="1" fillId="0" borderId="0" xfId="1" applyFill="1" applyProtection="1">
      <protection locked="0"/>
    </xf>
    <xf numFmtId="164" fontId="1" fillId="3" borderId="3" xfId="1" applyNumberFormat="1" applyFill="1" applyBorder="1" applyAlignment="1">
      <alignment horizontal="center" vertical="center"/>
    </xf>
    <xf numFmtId="166" fontId="25" fillId="2" borderId="37" xfId="0" applyNumberFormat="1" applyFont="1" applyFill="1" applyBorder="1" applyAlignment="1">
      <alignment horizontal="center" vertical="center" wrapText="1"/>
    </xf>
    <xf numFmtId="166" fontId="25" fillId="3" borderId="3" xfId="1" applyNumberFormat="1" applyFont="1" applyFill="1" applyBorder="1" applyAlignment="1">
      <alignment horizontal="center" vertical="center"/>
    </xf>
    <xf numFmtId="0" fontId="25" fillId="3" borderId="3" xfId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 wrapText="1"/>
    </xf>
    <xf numFmtId="166" fontId="11" fillId="3" borderId="3" xfId="1" applyNumberFormat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164" fontId="15" fillId="3" borderId="3" xfId="1" applyNumberFormat="1" applyFont="1" applyFill="1" applyBorder="1" applyAlignment="1">
      <alignment horizontal="center" vertical="center"/>
    </xf>
    <xf numFmtId="0" fontId="15" fillId="6" borderId="3" xfId="1" applyFont="1" applyFill="1" applyBorder="1" applyAlignment="1" applyProtection="1">
      <alignment horizontal="center" vertical="center"/>
      <protection locked="0"/>
    </xf>
    <xf numFmtId="2" fontId="15" fillId="3" borderId="3" xfId="0" applyNumberFormat="1" applyFont="1" applyFill="1" applyBorder="1" applyAlignment="1" applyProtection="1">
      <alignment horizontal="center" vertical="center"/>
      <protection locked="0"/>
    </xf>
    <xf numFmtId="2" fontId="15" fillId="3" borderId="3" xfId="1" applyNumberFormat="1" applyFont="1" applyFill="1" applyBorder="1" applyAlignment="1">
      <alignment horizontal="center" vertical="center"/>
    </xf>
    <xf numFmtId="166" fontId="15" fillId="3" borderId="3" xfId="1" applyNumberFormat="1" applyFont="1" applyFill="1" applyBorder="1"/>
    <xf numFmtId="0" fontId="15" fillId="3" borderId="3" xfId="1" applyFont="1" applyFill="1" applyBorder="1" applyProtection="1">
      <protection locked="0"/>
    </xf>
    <xf numFmtId="166" fontId="15" fillId="3" borderId="3" xfId="1" applyNumberFormat="1" applyFont="1" applyFill="1" applyBorder="1" applyProtection="1">
      <protection locked="0"/>
    </xf>
    <xf numFmtId="166" fontId="15" fillId="3" borderId="8" xfId="1" applyNumberFormat="1" applyFont="1" applyFill="1" applyBorder="1"/>
    <xf numFmtId="166" fontId="15" fillId="3" borderId="4" xfId="1" applyNumberFormat="1" applyFont="1" applyFill="1" applyBorder="1"/>
    <xf numFmtId="164" fontId="21" fillId="5" borderId="3" xfId="1" applyNumberFormat="1" applyFont="1" applyFill="1" applyBorder="1" applyAlignment="1">
      <alignment horizontal="center" vertical="center"/>
    </xf>
    <xf numFmtId="2" fontId="21" fillId="5" borderId="3" xfId="1" applyNumberFormat="1" applyFont="1" applyFill="1" applyBorder="1" applyAlignment="1">
      <alignment horizontal="center" vertical="center"/>
    </xf>
    <xf numFmtId="0" fontId="29" fillId="5" borderId="22" xfId="0" applyFont="1" applyFill="1" applyBorder="1" applyAlignment="1" applyProtection="1">
      <alignment horizontal="center" vertical="center" wrapText="1"/>
    </xf>
    <xf numFmtId="166" fontId="24" fillId="3" borderId="3" xfId="6" applyNumberFormat="1" applyFont="1" applyFill="1" applyBorder="1" applyAlignment="1" applyProtection="1">
      <alignment horizontal="right" vertical="center" wrapText="1"/>
    </xf>
    <xf numFmtId="0" fontId="31" fillId="6" borderId="3" xfId="1" applyFont="1" applyFill="1" applyBorder="1" applyAlignment="1" applyProtection="1">
      <alignment horizontal="center" vertical="center"/>
      <protection locked="0"/>
    </xf>
    <xf numFmtId="0" fontId="1" fillId="4" borderId="0" xfId="1" applyFill="1" applyProtection="1">
      <protection locked="0"/>
    </xf>
    <xf numFmtId="0" fontId="1" fillId="4" borderId="0" xfId="1" applyFill="1"/>
    <xf numFmtId="0" fontId="31" fillId="6" borderId="3" xfId="1" applyFont="1" applyFill="1" applyBorder="1" applyAlignment="1">
      <alignment horizontal="center" vertical="center"/>
    </xf>
    <xf numFmtId="165" fontId="27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Fill="1"/>
    <xf numFmtId="0" fontId="12" fillId="2" borderId="3" xfId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vertical="center" wrapText="1"/>
    </xf>
    <xf numFmtId="0" fontId="12" fillId="2" borderId="7" xfId="1" applyFont="1" applyFill="1" applyBorder="1" applyAlignment="1">
      <alignment wrapText="1"/>
    </xf>
    <xf numFmtId="0" fontId="12" fillId="2" borderId="3" xfId="1" applyFont="1" applyFill="1" applyBorder="1"/>
    <xf numFmtId="165" fontId="24" fillId="2" borderId="3" xfId="3" applyNumberFormat="1" applyFont="1" applyFill="1" applyBorder="1" applyAlignment="1" applyProtection="1">
      <alignment horizontal="center" wrapText="1"/>
      <protection locked="0"/>
    </xf>
    <xf numFmtId="0" fontId="3" fillId="2" borderId="3" xfId="1" applyFont="1" applyFill="1" applyBorder="1" applyAlignment="1" applyProtection="1">
      <protection locked="0"/>
    </xf>
    <xf numFmtId="165" fontId="29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 applyProtection="1">
      <protection locked="0"/>
    </xf>
    <xf numFmtId="9" fontId="12" fillId="2" borderId="3" xfId="1" applyNumberFormat="1" applyFont="1" applyFill="1" applyBorder="1"/>
    <xf numFmtId="166" fontId="1" fillId="2" borderId="3" xfId="1" applyNumberFormat="1" applyFill="1" applyBorder="1"/>
    <xf numFmtId="0" fontId="23" fillId="2" borderId="27" xfId="0" applyFont="1" applyFill="1" applyBorder="1" applyAlignment="1">
      <alignment vertical="top" wrapText="1"/>
    </xf>
    <xf numFmtId="0" fontId="23" fillId="2" borderId="3" xfId="1" applyFont="1" applyFill="1" applyBorder="1" applyAlignment="1">
      <alignment horizontal="left" wrapText="1"/>
    </xf>
    <xf numFmtId="0" fontId="23" fillId="2" borderId="3" xfId="1" applyFont="1" applyFill="1" applyBorder="1" applyAlignment="1">
      <alignment horizontal="left" vertical="top" wrapText="1"/>
    </xf>
    <xf numFmtId="0" fontId="25" fillId="2" borderId="3" xfId="1" applyFont="1" applyFill="1" applyBorder="1" applyAlignment="1">
      <alignment horizontal="center" vertical="center" wrapText="1"/>
    </xf>
    <xf numFmtId="166" fontId="25" fillId="2" borderId="22" xfId="1" applyNumberFormat="1" applyFont="1" applyFill="1" applyBorder="1" applyAlignment="1">
      <alignment horizontal="center" vertical="center"/>
    </xf>
    <xf numFmtId="166" fontId="25" fillId="2" borderId="3" xfId="1" applyNumberFormat="1" applyFont="1" applyFill="1" applyBorder="1" applyAlignment="1">
      <alignment horizontal="center" vertical="center"/>
    </xf>
    <xf numFmtId="166" fontId="25" fillId="2" borderId="3" xfId="1" applyNumberFormat="1" applyFont="1" applyFill="1" applyBorder="1" applyAlignment="1">
      <alignment vertical="center"/>
    </xf>
    <xf numFmtId="166" fontId="25" fillId="2" borderId="3" xfId="1" applyNumberFormat="1" applyFont="1" applyFill="1" applyBorder="1" applyAlignment="1"/>
    <xf numFmtId="0" fontId="23" fillId="2" borderId="13" xfId="0" applyFont="1" applyFill="1" applyBorder="1" applyAlignment="1">
      <alignment vertical="top" wrapText="1"/>
    </xf>
    <xf numFmtId="165" fontId="21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5" fillId="2" borderId="13" xfId="0" applyFont="1" applyFill="1" applyBorder="1" applyAlignment="1">
      <alignment vertical="top" wrapText="1"/>
    </xf>
    <xf numFmtId="165" fontId="25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5" fillId="2" borderId="27" xfId="0" applyFont="1" applyFill="1" applyBorder="1" applyAlignment="1">
      <alignment vertical="top" wrapText="1"/>
    </xf>
    <xf numFmtId="0" fontId="25" fillId="2" borderId="3" xfId="1" applyFont="1" applyFill="1" applyBorder="1"/>
    <xf numFmtId="166" fontId="23" fillId="2" borderId="37" xfId="0" applyNumberFormat="1" applyFont="1" applyFill="1" applyBorder="1" applyAlignment="1" applyProtection="1">
      <alignment horizontal="center" vertical="center"/>
      <protection locked="0"/>
    </xf>
    <xf numFmtId="166" fontId="23" fillId="2" borderId="37" xfId="0" applyNumberFormat="1" applyFont="1" applyFill="1" applyBorder="1" applyAlignment="1">
      <alignment horizontal="center" vertical="center" wrapText="1"/>
    </xf>
    <xf numFmtId="166" fontId="23" fillId="2" borderId="3" xfId="0" applyNumberFormat="1" applyFont="1" applyFill="1" applyBorder="1" applyAlignment="1">
      <alignment horizontal="center" vertical="center" wrapText="1"/>
    </xf>
    <xf numFmtId="166" fontId="23" fillId="2" borderId="4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top" wrapText="1"/>
    </xf>
    <xf numFmtId="166" fontId="25" fillId="2" borderId="24" xfId="1" applyNumberFormat="1" applyFont="1" applyFill="1" applyBorder="1" applyAlignment="1">
      <alignment horizontal="center" vertical="center"/>
    </xf>
    <xf numFmtId="166" fontId="25" fillId="2" borderId="7" xfId="1" applyNumberFormat="1" applyFont="1" applyFill="1" applyBorder="1" applyAlignment="1">
      <alignment horizontal="center" vertical="center"/>
    </xf>
    <xf numFmtId="166" fontId="25" fillId="2" borderId="26" xfId="1" applyNumberFormat="1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/>
    </xf>
    <xf numFmtId="166" fontId="25" fillId="2" borderId="29" xfId="1" applyNumberFormat="1" applyFont="1" applyFill="1" applyBorder="1" applyAlignment="1">
      <alignment horizontal="center" vertical="center" wrapText="1"/>
    </xf>
    <xf numFmtId="166" fontId="25" fillId="2" borderId="32" xfId="1" applyNumberFormat="1" applyFont="1" applyFill="1" applyBorder="1" applyAlignment="1">
      <alignment horizontal="center" vertical="center"/>
    </xf>
    <xf numFmtId="166" fontId="25" fillId="2" borderId="4" xfId="1" applyNumberFormat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/>
    </xf>
    <xf numFmtId="0" fontId="19" fillId="2" borderId="0" xfId="0" applyFont="1" applyFill="1" applyAlignment="1">
      <alignment wrapText="1"/>
    </xf>
    <xf numFmtId="166" fontId="1" fillId="2" borderId="3" xfId="1" applyNumberForma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66" fontId="21" fillId="2" borderId="22" xfId="1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wrapText="1"/>
    </xf>
    <xf numFmtId="166" fontId="1" fillId="2" borderId="7" xfId="1" applyNumberForma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0" xfId="1" applyFill="1" applyProtection="1">
      <protection locked="0"/>
    </xf>
    <xf numFmtId="0" fontId="1" fillId="2" borderId="4" xfId="1" applyFill="1" applyBorder="1"/>
    <xf numFmtId="2" fontId="25" fillId="2" borderId="3" xfId="1" applyNumberFormat="1" applyFont="1" applyFill="1" applyBorder="1" applyAlignment="1">
      <alignment horizontal="center" vertical="center"/>
    </xf>
    <xf numFmtId="166" fontId="26" fillId="2" borderId="3" xfId="0" applyNumberFormat="1" applyFont="1" applyFill="1" applyBorder="1" applyAlignment="1">
      <alignment horizontal="center" vertical="center" wrapText="1"/>
    </xf>
    <xf numFmtId="166" fontId="12" fillId="2" borderId="7" xfId="1" applyNumberFormat="1" applyFont="1" applyFill="1" applyBorder="1"/>
    <xf numFmtId="166" fontId="1" fillId="2" borderId="3" xfId="1" applyNumberFormat="1" applyFill="1" applyBorder="1" applyProtection="1">
      <protection locked="0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1" applyFont="1" applyFill="1" applyBorder="1" applyAlignment="1" applyProtection="1">
      <alignment horizontal="center" vertical="center"/>
      <protection locked="0"/>
    </xf>
    <xf numFmtId="0" fontId="25" fillId="0" borderId="39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vertical="top" wrapText="1"/>
    </xf>
    <xf numFmtId="0" fontId="23" fillId="0" borderId="3" xfId="1" applyFont="1" applyFill="1" applyBorder="1" applyAlignment="1">
      <alignment wrapText="1"/>
    </xf>
    <xf numFmtId="0" fontId="25" fillId="2" borderId="22" xfId="1" applyFont="1" applyFill="1" applyBorder="1" applyAlignment="1">
      <alignment horizontal="center" vertical="center" wrapText="1"/>
    </xf>
    <xf numFmtId="166" fontId="25" fillId="2" borderId="12" xfId="0" applyNumberFormat="1" applyFont="1" applyFill="1" applyBorder="1" applyAlignment="1">
      <alignment horizontal="center" vertical="center" wrapText="1"/>
    </xf>
    <xf numFmtId="0" fontId="29" fillId="3" borderId="19" xfId="1" applyFont="1" applyFill="1" applyBorder="1" applyAlignment="1" applyProtection="1">
      <alignment horizontal="center" vertical="center" wrapText="1"/>
      <protection locked="0"/>
    </xf>
    <xf numFmtId="0" fontId="25" fillId="3" borderId="28" xfId="0" applyFont="1" applyFill="1" applyBorder="1" applyAlignment="1" applyProtection="1">
      <alignment horizontal="center" vertical="center"/>
      <protection locked="0"/>
    </xf>
    <xf numFmtId="166" fontId="3" fillId="3" borderId="36" xfId="0" applyNumberFormat="1" applyFont="1" applyFill="1" applyBorder="1" applyAlignment="1" applyProtection="1">
      <alignment horizontal="right" vertical="center"/>
      <protection locked="0"/>
    </xf>
    <xf numFmtId="166" fontId="25" fillId="3" borderId="37" xfId="0" applyNumberFormat="1" applyFont="1" applyFill="1" applyBorder="1" applyAlignment="1">
      <alignment horizontal="center" vertical="center" wrapText="1"/>
    </xf>
    <xf numFmtId="0" fontId="23" fillId="3" borderId="4" xfId="1" applyFont="1" applyFill="1" applyBorder="1"/>
    <xf numFmtId="166" fontId="23" fillId="2" borderId="3" xfId="0" applyNumberFormat="1" applyFont="1" applyFill="1" applyBorder="1" applyAlignment="1">
      <alignment horizontal="center" vertical="center" wrapText="1"/>
    </xf>
    <xf numFmtId="166" fontId="23" fillId="2" borderId="4" xfId="0" applyNumberFormat="1" applyFont="1" applyFill="1" applyBorder="1" applyAlignment="1">
      <alignment horizontal="center" vertical="center" wrapText="1"/>
    </xf>
    <xf numFmtId="166" fontId="37" fillId="0" borderId="7" xfId="1" applyNumberFormat="1" applyFont="1" applyBorder="1"/>
    <xf numFmtId="166" fontId="37" fillId="0" borderId="26" xfId="1" applyNumberFormat="1" applyFont="1" applyBorder="1"/>
    <xf numFmtId="0" fontId="25" fillId="0" borderId="38" xfId="0" applyFont="1" applyFill="1" applyBorder="1" applyAlignment="1">
      <alignment horizontal="center" vertical="center" wrapText="1"/>
    </xf>
    <xf numFmtId="0" fontId="4" fillId="6" borderId="7" xfId="1" applyFont="1" applyFill="1" applyBorder="1" applyAlignment="1" applyProtection="1">
      <alignment horizontal="center" vertical="center" wrapText="1"/>
      <protection locked="0"/>
    </xf>
    <xf numFmtId="165" fontId="5" fillId="6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1" applyFill="1" applyBorder="1" applyProtection="1">
      <protection locked="0"/>
    </xf>
    <xf numFmtId="0" fontId="26" fillId="2" borderId="22" xfId="0" applyFont="1" applyFill="1" applyBorder="1" applyAlignment="1">
      <alignment vertical="top" wrapText="1"/>
    </xf>
    <xf numFmtId="166" fontId="24" fillId="0" borderId="4" xfId="6" applyNumberFormat="1" applyFont="1" applyFill="1" applyBorder="1" applyAlignment="1" applyProtection="1">
      <alignment horizontal="center" vertical="center" wrapText="1"/>
    </xf>
    <xf numFmtId="49" fontId="23" fillId="0" borderId="3" xfId="0" applyNumberFormat="1" applyFont="1" applyFill="1" applyBorder="1" applyAlignment="1">
      <alignment vertical="top" wrapText="1"/>
    </xf>
    <xf numFmtId="0" fontId="27" fillId="2" borderId="3" xfId="1" applyFont="1" applyFill="1" applyBorder="1" applyAlignment="1" applyProtection="1">
      <alignment horizontal="center" vertical="center" wrapText="1"/>
      <protection locked="0"/>
    </xf>
    <xf numFmtId="0" fontId="25" fillId="0" borderId="3" xfId="1" applyFont="1" applyFill="1" applyBorder="1" applyAlignment="1">
      <alignment horizontal="center" vertical="center"/>
    </xf>
    <xf numFmtId="0" fontId="12" fillId="0" borderId="3" xfId="1" applyFont="1" applyFill="1" applyBorder="1"/>
    <xf numFmtId="166" fontId="25" fillId="0" borderId="3" xfId="1" applyNumberFormat="1" applyFont="1" applyFill="1" applyBorder="1" applyAlignment="1">
      <alignment horizontal="center" vertical="center"/>
    </xf>
    <xf numFmtId="166" fontId="23" fillId="0" borderId="3" xfId="0" applyNumberFormat="1" applyFont="1" applyFill="1" applyBorder="1" applyAlignment="1">
      <alignment horizontal="center" vertical="center" wrapText="1"/>
    </xf>
    <xf numFmtId="166" fontId="25" fillId="2" borderId="3" xfId="1" applyNumberFormat="1" applyFont="1" applyFill="1" applyBorder="1"/>
    <xf numFmtId="166" fontId="25" fillId="0" borderId="3" xfId="1" applyNumberFormat="1" applyFont="1" applyFill="1" applyBorder="1"/>
    <xf numFmtId="0" fontId="11" fillId="2" borderId="3" xfId="1" applyFont="1" applyFill="1" applyBorder="1" applyAlignment="1">
      <alignment wrapText="1"/>
    </xf>
    <xf numFmtId="0" fontId="11" fillId="2" borderId="3" xfId="1" applyFont="1" applyFill="1" applyBorder="1"/>
    <xf numFmtId="0" fontId="25" fillId="2" borderId="3" xfId="1" applyFont="1" applyFill="1" applyBorder="1" applyAlignment="1">
      <alignment wrapText="1"/>
    </xf>
    <xf numFmtId="166" fontId="11" fillId="0" borderId="3" xfId="1" applyNumberFormat="1" applyFont="1" applyFill="1" applyBorder="1"/>
    <xf numFmtId="166" fontId="21" fillId="2" borderId="32" xfId="1" applyNumberFormat="1" applyFont="1" applyFill="1" applyBorder="1" applyAlignment="1">
      <alignment horizontal="center" vertical="center"/>
    </xf>
    <xf numFmtId="0" fontId="21" fillId="5" borderId="3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 wrapText="1"/>
    </xf>
    <xf numFmtId="2" fontId="21" fillId="5" borderId="7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166" fontId="28" fillId="3" borderId="10" xfId="6" applyNumberFormat="1" applyFont="1" applyFill="1" applyBorder="1" applyAlignment="1" applyProtection="1">
      <alignment horizontal="right" vertical="center" wrapText="1"/>
    </xf>
    <xf numFmtId="166" fontId="24" fillId="3" borderId="4" xfId="6" applyNumberFormat="1" applyFont="1" applyFill="1" applyBorder="1" applyAlignment="1" applyProtection="1">
      <alignment horizontal="center" vertical="center" wrapText="1"/>
    </xf>
    <xf numFmtId="0" fontId="1" fillId="3" borderId="4" xfId="1" applyFill="1" applyBorder="1" applyProtection="1">
      <protection locked="0"/>
    </xf>
    <xf numFmtId="166" fontId="25" fillId="2" borderId="4" xfId="0" applyNumberFormat="1" applyFont="1" applyFill="1" applyBorder="1" applyAlignment="1">
      <alignment horizontal="center" vertical="center" wrapText="1"/>
    </xf>
    <xf numFmtId="0" fontId="25" fillId="2" borderId="4" xfId="1" applyFont="1" applyFill="1" applyBorder="1"/>
    <xf numFmtId="166" fontId="1" fillId="3" borderId="4" xfId="1" applyNumberFormat="1" applyFill="1" applyBorder="1" applyAlignment="1">
      <alignment horizontal="center" vertical="center"/>
    </xf>
    <xf numFmtId="164" fontId="1" fillId="3" borderId="4" xfId="1" applyNumberFormat="1" applyFill="1" applyBorder="1" applyAlignment="1">
      <alignment horizontal="center" vertical="center"/>
    </xf>
    <xf numFmtId="166" fontId="25" fillId="3" borderId="4" xfId="0" applyNumberFormat="1" applyFont="1" applyFill="1" applyBorder="1" applyAlignment="1">
      <alignment horizontal="center" vertical="center" wrapText="1"/>
    </xf>
    <xf numFmtId="0" fontId="1" fillId="6" borderId="4" xfId="1" applyFill="1" applyBorder="1" applyProtection="1">
      <protection locked="0"/>
    </xf>
    <xf numFmtId="166" fontId="25" fillId="2" borderId="32" xfId="0" applyNumberFormat="1" applyFont="1" applyFill="1" applyBorder="1" applyAlignment="1">
      <alignment horizontal="center" vertical="center" wrapText="1"/>
    </xf>
    <xf numFmtId="166" fontId="25" fillId="3" borderId="4" xfId="1" applyNumberFormat="1" applyFont="1" applyFill="1" applyBorder="1" applyAlignment="1">
      <alignment horizontal="center" vertical="center"/>
    </xf>
    <xf numFmtId="0" fontId="25" fillId="3" borderId="4" xfId="1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 applyProtection="1">
      <alignment horizontal="center" vertical="center"/>
      <protection locked="0"/>
    </xf>
    <xf numFmtId="9" fontId="12" fillId="0" borderId="22" xfId="0" applyNumberFormat="1" applyFont="1" applyFill="1" applyBorder="1" applyAlignment="1" applyProtection="1">
      <alignment horizontal="center" vertical="center"/>
      <protection locked="0"/>
    </xf>
    <xf numFmtId="166" fontId="12" fillId="0" borderId="22" xfId="0" applyNumberFormat="1" applyFont="1" applyFill="1" applyBorder="1" applyAlignment="1" applyProtection="1">
      <alignment horizontal="center" vertical="center"/>
      <protection locked="0"/>
    </xf>
    <xf numFmtId="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3" xfId="0" applyNumberFormat="1" applyFont="1" applyBorder="1" applyAlignment="1">
      <alignment horizontal="center" vertical="center" wrapText="1"/>
    </xf>
    <xf numFmtId="0" fontId="1" fillId="0" borderId="21" xfId="1" applyFill="1" applyBorder="1"/>
    <xf numFmtId="0" fontId="1" fillId="0" borderId="21" xfId="1" applyFill="1" applyBorder="1" applyProtection="1">
      <protection locked="0"/>
    </xf>
    <xf numFmtId="0" fontId="1" fillId="0" borderId="21" xfId="1" applyBorder="1"/>
    <xf numFmtId="9" fontId="2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1" xfId="1" applyBorder="1" applyProtection="1">
      <protection locked="0"/>
    </xf>
    <xf numFmtId="0" fontId="18" fillId="0" borderId="0" xfId="1" applyFont="1" applyBorder="1" applyAlignment="1">
      <alignment vertical="top"/>
    </xf>
    <xf numFmtId="0" fontId="18" fillId="0" borderId="26" xfId="1" applyFont="1" applyBorder="1" applyAlignment="1">
      <alignment horizontal="center" vertical="center" wrapText="1"/>
    </xf>
    <xf numFmtId="0" fontId="35" fillId="0" borderId="42" xfId="0" applyFont="1" applyBorder="1" applyAlignment="1">
      <alignment wrapText="1"/>
    </xf>
    <xf numFmtId="0" fontId="35" fillId="0" borderId="19" xfId="0" applyFont="1" applyBorder="1" applyAlignment="1">
      <alignment wrapText="1"/>
    </xf>
    <xf numFmtId="167" fontId="16" fillId="6" borderId="3" xfId="4" applyNumberFormat="1" applyFont="1" applyFill="1" applyBorder="1" applyAlignment="1">
      <alignment horizontal="center" vertical="top"/>
    </xf>
    <xf numFmtId="166" fontId="23" fillId="6" borderId="3" xfId="1" applyNumberFormat="1" applyFont="1" applyFill="1" applyBorder="1" applyAlignment="1">
      <alignment horizontal="center" vertical="top"/>
    </xf>
    <xf numFmtId="0" fontId="23" fillId="6" borderId="3" xfId="1" applyFont="1" applyFill="1" applyBorder="1" applyAlignment="1">
      <alignment horizontal="center" vertical="top"/>
    </xf>
    <xf numFmtId="0" fontId="23" fillId="6" borderId="4" xfId="1" applyFont="1" applyFill="1" applyBorder="1" applyAlignment="1">
      <alignment horizontal="center" vertical="center"/>
    </xf>
    <xf numFmtId="167" fontId="23" fillId="6" borderId="3" xfId="1" applyNumberFormat="1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2" fontId="30" fillId="6" borderId="3" xfId="0" applyNumberFormat="1" applyFont="1" applyFill="1" applyBorder="1" applyAlignment="1">
      <alignment horizontal="right" vertical="center" wrapText="1"/>
    </xf>
    <xf numFmtId="0" fontId="12" fillId="0" borderId="0" xfId="1" applyFont="1" applyFill="1" applyAlignment="1">
      <alignment wrapText="1"/>
    </xf>
    <xf numFmtId="0" fontId="12" fillId="0" borderId="3" xfId="1" applyFont="1" applyFill="1" applyBorder="1" applyAlignment="1">
      <alignment wrapText="1"/>
    </xf>
    <xf numFmtId="0" fontId="21" fillId="0" borderId="3" xfId="1" applyFont="1" applyFill="1" applyBorder="1" applyAlignment="1">
      <alignment wrapText="1"/>
    </xf>
    <xf numFmtId="0" fontId="21" fillId="0" borderId="3" xfId="1" applyFont="1" applyFill="1" applyBorder="1"/>
    <xf numFmtId="0" fontId="23" fillId="6" borderId="19" xfId="0" applyFont="1" applyFill="1" applyBorder="1" applyAlignment="1">
      <alignment vertical="center" wrapText="1"/>
    </xf>
    <xf numFmtId="0" fontId="23" fillId="6" borderId="25" xfId="0" applyFont="1" applyFill="1" applyBorder="1" applyAlignment="1">
      <alignment vertical="center" wrapText="1"/>
    </xf>
    <xf numFmtId="0" fontId="23" fillId="6" borderId="19" xfId="1" applyFont="1" applyFill="1" applyBorder="1" applyAlignment="1">
      <alignment horizontal="left" vertical="top" wrapText="1"/>
    </xf>
    <xf numFmtId="0" fontId="23" fillId="3" borderId="22" xfId="0" applyFont="1" applyFill="1" applyBorder="1" applyAlignment="1">
      <alignment vertical="center" wrapText="1"/>
    </xf>
    <xf numFmtId="0" fontId="12" fillId="6" borderId="19" xfId="0" applyFont="1" applyFill="1" applyBorder="1" applyAlignment="1" applyProtection="1">
      <alignment horizontal="left" vertical="center" wrapText="1"/>
      <protection locked="0"/>
    </xf>
    <xf numFmtId="0" fontId="23" fillId="3" borderId="19" xfId="0" applyFont="1" applyFill="1" applyBorder="1" applyAlignment="1">
      <alignment vertical="center" wrapText="1"/>
    </xf>
    <xf numFmtId="0" fontId="23" fillId="6" borderId="21" xfId="0" applyFont="1" applyFill="1" applyBorder="1" applyAlignment="1">
      <alignment vertical="center" wrapText="1"/>
    </xf>
    <xf numFmtId="0" fontId="26" fillId="2" borderId="29" xfId="0" applyFont="1" applyFill="1" applyBorder="1" applyAlignment="1">
      <alignment vertical="top" wrapText="1"/>
    </xf>
    <xf numFmtId="0" fontId="26" fillId="2" borderId="24" xfId="0" applyFont="1" applyFill="1" applyBorder="1" applyAlignment="1">
      <alignment vertical="top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top" wrapText="1"/>
    </xf>
    <xf numFmtId="0" fontId="16" fillId="3" borderId="22" xfId="1" applyFont="1" applyFill="1" applyBorder="1" applyAlignment="1" applyProtection="1">
      <alignment horizontal="left" vertical="center" wrapText="1"/>
      <protection locked="0"/>
    </xf>
    <xf numFmtId="0" fontId="16" fillId="6" borderId="19" xfId="1" applyFont="1" applyFill="1" applyBorder="1" applyAlignment="1" applyProtection="1">
      <alignment horizontal="left" vertical="center" wrapText="1"/>
      <protection locked="0"/>
    </xf>
    <xf numFmtId="0" fontId="23" fillId="3" borderId="21" xfId="0" applyFont="1" applyFill="1" applyBorder="1" applyAlignment="1">
      <alignment vertical="center" wrapText="1"/>
    </xf>
    <xf numFmtId="0" fontId="16" fillId="3" borderId="21" xfId="1" applyFont="1" applyFill="1" applyBorder="1" applyAlignment="1" applyProtection="1">
      <alignment horizontal="left" vertical="center" wrapText="1"/>
      <protection locked="0"/>
    </xf>
    <xf numFmtId="0" fontId="5" fillId="6" borderId="22" xfId="0" applyFont="1" applyFill="1" applyBorder="1" applyAlignment="1" applyProtection="1">
      <alignment horizontal="center" vertical="center" wrapText="1"/>
    </xf>
    <xf numFmtId="0" fontId="21" fillId="0" borderId="3" xfId="1" applyFont="1" applyBorder="1" applyAlignment="1">
      <alignment horizontal="left" wrapText="1"/>
    </xf>
    <xf numFmtId="0" fontId="21" fillId="0" borderId="3" xfId="1" applyFont="1" applyBorder="1" applyAlignment="1">
      <alignment horizontal="left"/>
    </xf>
    <xf numFmtId="0" fontId="21" fillId="0" borderId="3" xfId="1" applyFont="1" applyBorder="1" applyAlignment="1">
      <alignment horizontal="right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>
      <alignment horizontal="center" vertical="center" wrapText="1"/>
    </xf>
    <xf numFmtId="0" fontId="30" fillId="0" borderId="3" xfId="1" applyFont="1" applyBorder="1" applyAlignment="1">
      <alignment vertical="top" wrapText="1"/>
    </xf>
    <xf numFmtId="0" fontId="21" fillId="0" borderId="4" xfId="1" applyFont="1" applyBorder="1" applyAlignment="1">
      <alignment horizontal="right"/>
    </xf>
    <xf numFmtId="0" fontId="21" fillId="0" borderId="6" xfId="1" applyFont="1" applyBorder="1" applyAlignment="1">
      <alignment horizontal="right"/>
    </xf>
    <xf numFmtId="0" fontId="21" fillId="2" borderId="3" xfId="1" applyFont="1" applyFill="1" applyBorder="1" applyAlignment="1"/>
    <xf numFmtId="2" fontId="21" fillId="2" borderId="3" xfId="1" applyNumberFormat="1" applyFont="1" applyFill="1" applyBorder="1" applyAlignment="1"/>
    <xf numFmtId="165" fontId="5" fillId="3" borderId="26" xfId="3" applyNumberFormat="1" applyFont="1" applyFill="1" applyBorder="1" applyAlignment="1" applyProtection="1">
      <alignment horizontal="center" vertical="center" wrapText="1"/>
      <protection locked="0"/>
    </xf>
    <xf numFmtId="0" fontId="21" fillId="3" borderId="28" xfId="1" applyFont="1" applyFill="1" applyBorder="1" applyAlignment="1">
      <alignment horizontal="left"/>
    </xf>
    <xf numFmtId="0" fontId="21" fillId="3" borderId="3" xfId="1" applyFont="1" applyFill="1" applyBorder="1" applyAlignment="1">
      <alignment horizontal="left" wrapText="1"/>
    </xf>
    <xf numFmtId="0" fontId="21" fillId="3" borderId="21" xfId="1" applyFont="1" applyFill="1" applyBorder="1" applyAlignment="1">
      <alignment horizontal="left"/>
    </xf>
    <xf numFmtId="0" fontId="21" fillId="3" borderId="3" xfId="1" applyFont="1" applyFill="1" applyBorder="1" applyAlignment="1">
      <alignment horizontal="left"/>
    </xf>
    <xf numFmtId="0" fontId="21" fillId="3" borderId="7" xfId="1" applyFont="1" applyFill="1" applyBorder="1" applyAlignment="1">
      <alignment horizontal="left" wrapText="1"/>
    </xf>
    <xf numFmtId="0" fontId="21" fillId="2" borderId="7" xfId="1" applyFont="1" applyFill="1" applyBorder="1" applyAlignment="1">
      <alignment horizontal="left" wrapText="1"/>
    </xf>
    <xf numFmtId="0" fontId="21" fillId="0" borderId="7" xfId="1" applyFont="1" applyFill="1" applyBorder="1" applyAlignment="1">
      <alignment horizontal="left" wrapText="1"/>
    </xf>
    <xf numFmtId="0" fontId="30" fillId="0" borderId="7" xfId="1" applyFont="1" applyBorder="1" applyAlignment="1">
      <alignment wrapText="1"/>
    </xf>
    <xf numFmtId="166" fontId="25" fillId="2" borderId="0" xfId="1" applyNumberFormat="1" applyFont="1" applyFill="1" applyAlignment="1">
      <alignment horizontal="center" vertical="center"/>
    </xf>
    <xf numFmtId="0" fontId="21" fillId="2" borderId="22" xfId="1" applyFont="1" applyFill="1" applyBorder="1" applyAlignment="1">
      <alignment horizontal="center" vertical="center"/>
    </xf>
    <xf numFmtId="166" fontId="1" fillId="2" borderId="22" xfId="1" applyNumberFormat="1" applyFont="1" applyFill="1" applyBorder="1" applyAlignment="1">
      <alignment horizontal="center" vertical="center"/>
    </xf>
    <xf numFmtId="0" fontId="0" fillId="0" borderId="3" xfId="0" applyFill="1" applyBorder="1" applyAlignment="1"/>
    <xf numFmtId="0" fontId="12" fillId="2" borderId="3" xfId="1" applyFont="1" applyFill="1" applyBorder="1" applyAlignment="1">
      <alignment vertical="center"/>
    </xf>
    <xf numFmtId="0" fontId="1" fillId="0" borderId="0" xfId="1"/>
    <xf numFmtId="165" fontId="25" fillId="0" borderId="5" xfId="6" applyNumberFormat="1" applyFont="1" applyFill="1" applyBorder="1" applyAlignment="1" applyProtection="1">
      <alignment vertical="center" wrapText="1"/>
      <protection locked="0"/>
    </xf>
    <xf numFmtId="165" fontId="25" fillId="0" borderId="3" xfId="6" applyNumberFormat="1" applyFont="1" applyFill="1" applyBorder="1" applyAlignment="1" applyProtection="1">
      <alignment vertical="center" wrapText="1"/>
      <protection locked="0"/>
    </xf>
    <xf numFmtId="0" fontId="38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5" fillId="0" borderId="7" xfId="4" applyFont="1" applyFill="1" applyBorder="1" applyAlignment="1">
      <alignment vertical="top" wrapText="1"/>
    </xf>
    <xf numFmtId="0" fontId="0" fillId="0" borderId="21" xfId="0" applyFill="1" applyBorder="1" applyAlignment="1"/>
    <xf numFmtId="165" fontId="27" fillId="0" borderId="3" xfId="6" applyNumberFormat="1" applyFont="1" applyFill="1" applyBorder="1" applyAlignment="1" applyProtection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6" fontId="21" fillId="0" borderId="6" xfId="0" applyNumberFormat="1" applyFont="1" applyFill="1" applyBorder="1" applyAlignment="1">
      <alignment horizontal="center" vertical="center" wrapText="1"/>
    </xf>
    <xf numFmtId="0" fontId="16" fillId="0" borderId="19" xfId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 applyProtection="1">
      <alignment horizontal="left" vertical="center" wrapText="1"/>
    </xf>
    <xf numFmtId="0" fontId="29" fillId="0" borderId="19" xfId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  <protection locked="0"/>
    </xf>
    <xf numFmtId="2" fontId="23" fillId="0" borderId="4" xfId="1" applyNumberFormat="1" applyFont="1" applyFill="1" applyBorder="1" applyAlignment="1">
      <alignment horizontal="center" vertical="center" wrapText="1"/>
    </xf>
    <xf numFmtId="165" fontId="5" fillId="0" borderId="4" xfId="3" applyNumberFormat="1" applyFont="1" applyFill="1" applyBorder="1" applyAlignment="1" applyProtection="1">
      <alignment horizontal="center" vertical="center" wrapText="1"/>
      <protection locked="0"/>
    </xf>
    <xf numFmtId="166" fontId="23" fillId="0" borderId="4" xfId="1" applyNumberFormat="1" applyFont="1" applyFill="1" applyBorder="1" applyAlignment="1">
      <alignment horizontal="center" vertical="center"/>
    </xf>
    <xf numFmtId="166" fontId="23" fillId="0" borderId="3" xfId="1" applyNumberFormat="1" applyFont="1" applyFill="1" applyBorder="1" applyAlignment="1">
      <alignment horizontal="center" vertical="center"/>
    </xf>
    <xf numFmtId="0" fontId="25" fillId="0" borderId="7" xfId="1" applyFont="1" applyFill="1" applyBorder="1" applyAlignment="1" applyProtection="1">
      <alignment horizontal="center" vertical="center"/>
      <protection locked="0"/>
    </xf>
    <xf numFmtId="0" fontId="33" fillId="6" borderId="3" xfId="0" applyFont="1" applyFill="1" applyBorder="1" applyAlignment="1">
      <alignment horizontal="left" wrapText="1"/>
    </xf>
    <xf numFmtId="2" fontId="4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36" fillId="2" borderId="30" xfId="0" applyFont="1" applyFill="1" applyBorder="1" applyAlignment="1">
      <alignment horizontal="left" vertical="center" wrapText="1"/>
    </xf>
    <xf numFmtId="0" fontId="29" fillId="6" borderId="22" xfId="3" applyNumberFormat="1" applyFont="1" applyFill="1" applyBorder="1" applyAlignment="1" applyProtection="1">
      <alignment horizontal="center" vertical="center" wrapText="1"/>
      <protection locked="0"/>
    </xf>
    <xf numFmtId="0" fontId="36" fillId="2" borderId="3" xfId="0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top" wrapText="1"/>
    </xf>
    <xf numFmtId="167" fontId="25" fillId="0" borderId="3" xfId="0" applyNumberFormat="1" applyFont="1" applyFill="1" applyBorder="1" applyAlignment="1">
      <alignment horizontal="center" vertical="center" wrapText="1"/>
    </xf>
    <xf numFmtId="2" fontId="23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29" fillId="3" borderId="3" xfId="1" applyFont="1" applyFill="1" applyBorder="1" applyAlignment="1" applyProtection="1">
      <alignment horizontal="center" vertical="center" wrapText="1"/>
      <protection locked="0"/>
    </xf>
    <xf numFmtId="166" fontId="0" fillId="0" borderId="37" xfId="0" applyNumberFormat="1" applyFill="1" applyBorder="1" applyAlignment="1" applyProtection="1">
      <alignment horizontal="center" vertical="center"/>
      <protection locked="0"/>
    </xf>
    <xf numFmtId="0" fontId="1" fillId="0" borderId="0" xfId="1"/>
    <xf numFmtId="0" fontId="23" fillId="0" borderId="3" xfId="0" applyFont="1" applyFill="1" applyBorder="1" applyAlignment="1">
      <alignment vertical="center" wrapText="1"/>
    </xf>
    <xf numFmtId="166" fontId="24" fillId="0" borderId="3" xfId="6" applyNumberFormat="1" applyFont="1" applyFill="1" applyBorder="1" applyAlignment="1" applyProtection="1">
      <alignment horizontal="center" vertical="center" wrapText="1"/>
    </xf>
    <xf numFmtId="166" fontId="25" fillId="0" borderId="3" xfId="0" applyNumberFormat="1" applyFont="1" applyFill="1" applyBorder="1" applyAlignment="1" applyProtection="1">
      <alignment horizontal="center" vertical="center"/>
      <protection locked="0"/>
    </xf>
    <xf numFmtId="166" fontId="25" fillId="0" borderId="4" xfId="0" applyNumberFormat="1" applyFont="1" applyFill="1" applyBorder="1" applyAlignment="1" applyProtection="1">
      <alignment horizontal="center" vertical="center"/>
      <protection locked="0"/>
    </xf>
    <xf numFmtId="166" fontId="24" fillId="0" borderId="8" xfId="6" applyNumberFormat="1" applyFont="1" applyFill="1" applyBorder="1" applyAlignment="1" applyProtection="1">
      <alignment horizontal="center" vertical="center" wrapText="1"/>
    </xf>
    <xf numFmtId="166" fontId="3" fillId="0" borderId="8" xfId="0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>
      <alignment vertical="center" wrapText="1"/>
    </xf>
    <xf numFmtId="166" fontId="23" fillId="0" borderId="37" xfId="0" applyNumberFormat="1" applyFont="1" applyFill="1" applyBorder="1" applyAlignment="1">
      <alignment horizontal="center" vertical="center" wrapText="1"/>
    </xf>
    <xf numFmtId="165" fontId="24" fillId="3" borderId="3" xfId="3" applyNumberFormat="1" applyFont="1" applyFill="1" applyBorder="1" applyAlignment="1" applyProtection="1">
      <alignment horizontal="center" vertical="center" wrapText="1"/>
      <protection locked="0"/>
    </xf>
    <xf numFmtId="165" fontId="25" fillId="3" borderId="3" xfId="6" applyNumberFormat="1" applyFont="1" applyFill="1" applyBorder="1" applyAlignment="1" applyProtection="1">
      <alignment horizontal="center" vertical="center" wrapText="1"/>
      <protection locked="0"/>
    </xf>
    <xf numFmtId="165" fontId="24" fillId="3" borderId="3" xfId="6" applyNumberFormat="1" applyFont="1" applyFill="1" applyBorder="1" applyAlignment="1" applyProtection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166" fontId="25" fillId="0" borderId="22" xfId="1" applyNumberFormat="1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center" vertical="center" wrapText="1"/>
    </xf>
    <xf numFmtId="166" fontId="31" fillId="0" borderId="37" xfId="0" applyNumberFormat="1" applyFont="1" applyFill="1" applyBorder="1" applyAlignment="1">
      <alignment horizontal="center" vertical="center" wrapText="1"/>
    </xf>
    <xf numFmtId="166" fontId="31" fillId="0" borderId="6" xfId="0" applyNumberFormat="1" applyFont="1" applyFill="1" applyBorder="1" applyAlignment="1">
      <alignment horizontal="center" vertical="center" wrapText="1"/>
    </xf>
    <xf numFmtId="0" fontId="1" fillId="0" borderId="3" xfId="1" applyBorder="1"/>
    <xf numFmtId="165" fontId="23" fillId="0" borderId="5" xfId="6" applyNumberFormat="1" applyFont="1" applyFill="1" applyBorder="1" applyAlignment="1" applyProtection="1">
      <alignment vertical="center" wrapText="1"/>
      <protection locked="0"/>
    </xf>
    <xf numFmtId="165" fontId="23" fillId="0" borderId="3" xfId="6" applyNumberFormat="1" applyFont="1" applyFill="1" applyBorder="1" applyAlignment="1" applyProtection="1">
      <alignment vertical="center" wrapText="1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165" fontId="23" fillId="0" borderId="3" xfId="0" applyNumberFormat="1" applyFont="1" applyFill="1" applyBorder="1" applyAlignment="1" applyProtection="1">
      <alignment horizontal="center" vertical="center"/>
      <protection locked="0"/>
    </xf>
    <xf numFmtId="167" fontId="29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1" applyFont="1" applyBorder="1" applyAlignment="1">
      <alignment wrapText="1"/>
    </xf>
    <xf numFmtId="0" fontId="23" fillId="0" borderId="3" xfId="1" applyFont="1" applyBorder="1"/>
    <xf numFmtId="0" fontId="0" fillId="0" borderId="0" xfId="0"/>
    <xf numFmtId="0" fontId="1" fillId="0" borderId="3" xfId="1" applyBorder="1"/>
    <xf numFmtId="0" fontId="1" fillId="0" borderId="4" xfId="1" applyBorder="1"/>
    <xf numFmtId="2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3" xfId="1" applyNumberFormat="1" applyBorder="1"/>
    <xf numFmtId="2" fontId="1" fillId="0" borderId="3" xfId="1" applyNumberFormat="1" applyBorder="1" applyAlignment="1"/>
    <xf numFmtId="168" fontId="21" fillId="5" borderId="7" xfId="1" applyNumberFormat="1" applyFont="1" applyFill="1" applyBorder="1" applyAlignment="1">
      <alignment horizontal="center" vertical="center"/>
    </xf>
    <xf numFmtId="166" fontId="21" fillId="5" borderId="7" xfId="1" applyNumberFormat="1" applyFont="1" applyFill="1" applyBorder="1" applyAlignment="1">
      <alignment horizontal="center" vertical="center"/>
    </xf>
    <xf numFmtId="165" fontId="1" fillId="6" borderId="7" xfId="1" applyNumberFormat="1" applyFill="1" applyBorder="1" applyAlignment="1" applyProtection="1">
      <alignment horizontal="center" vertical="center"/>
      <protection locked="0"/>
    </xf>
    <xf numFmtId="0" fontId="12" fillId="0" borderId="7" xfId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wrapText="1"/>
    </xf>
    <xf numFmtId="0" fontId="23" fillId="0" borderId="7" xfId="1" applyFont="1" applyFill="1" applyBorder="1" applyAlignment="1">
      <alignment horizontal="center" vertical="center" wrapText="1"/>
    </xf>
    <xf numFmtId="0" fontId="1" fillId="0" borderId="3" xfId="8" applyFont="1" applyBorder="1" applyAlignment="1">
      <alignment wrapText="1"/>
    </xf>
    <xf numFmtId="166" fontId="21" fillId="0" borderId="3" xfId="1" applyNumberFormat="1" applyFont="1" applyBorder="1" applyAlignment="1">
      <alignment horizontal="right"/>
    </xf>
    <xf numFmtId="166" fontId="21" fillId="2" borderId="3" xfId="1" applyNumberFormat="1" applyFont="1" applyFill="1" applyBorder="1" applyAlignment="1"/>
    <xf numFmtId="0" fontId="23" fillId="0" borderId="21" xfId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/>
    <xf numFmtId="0" fontId="21" fillId="0" borderId="7" xfId="1" applyFont="1" applyFill="1" applyBorder="1" applyAlignment="1">
      <alignment horizontal="center" vertical="center" wrapText="1"/>
    </xf>
    <xf numFmtId="166" fontId="2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>
      <alignment horizontal="center" vertical="center"/>
    </xf>
    <xf numFmtId="166" fontId="26" fillId="0" borderId="3" xfId="0" applyNumberFormat="1" applyFont="1" applyFill="1" applyBorder="1" applyAlignment="1">
      <alignment horizontal="center" vertical="center"/>
    </xf>
    <xf numFmtId="166" fontId="25" fillId="0" borderId="37" xfId="0" applyNumberFormat="1" applyFont="1" applyFill="1" applyBorder="1" applyAlignment="1" applyProtection="1">
      <alignment horizontal="center" vertical="center"/>
      <protection locked="0"/>
    </xf>
    <xf numFmtId="0" fontId="41" fillId="0" borderId="3" xfId="1" applyFont="1" applyFill="1" applyBorder="1" applyAlignment="1" applyProtection="1">
      <alignment horizontal="center" vertical="center" wrapText="1"/>
      <protection locked="0"/>
    </xf>
    <xf numFmtId="0" fontId="24" fillId="0" borderId="3" xfId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/>
    <xf numFmtId="0" fontId="0" fillId="0" borderId="3" xfId="0" applyFont="1" applyFill="1" applyBorder="1" applyAlignment="1"/>
    <xf numFmtId="0" fontId="25" fillId="3" borderId="3" xfId="1" applyFont="1" applyFill="1" applyBorder="1"/>
    <xf numFmtId="0" fontId="25" fillId="3" borderId="4" xfId="1" applyFont="1" applyFill="1" applyBorder="1"/>
    <xf numFmtId="0" fontId="26" fillId="3" borderId="3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vertical="top" wrapText="1"/>
    </xf>
    <xf numFmtId="0" fontId="38" fillId="0" borderId="22" xfId="0" applyFont="1" applyFill="1" applyBorder="1" applyAlignment="1">
      <alignment vertical="top" wrapText="1"/>
    </xf>
    <xf numFmtId="166" fontId="11" fillId="2" borderId="3" xfId="1" applyNumberFormat="1" applyFont="1" applyFill="1" applyBorder="1"/>
    <xf numFmtId="166" fontId="25" fillId="0" borderId="29" xfId="1" applyNumberFormat="1" applyFont="1" applyFill="1" applyBorder="1" applyAlignment="1">
      <alignment horizontal="center" vertical="center" wrapText="1"/>
    </xf>
    <xf numFmtId="166" fontId="25" fillId="0" borderId="5" xfId="1" applyNumberFormat="1" applyFont="1" applyFill="1" applyBorder="1" applyAlignment="1">
      <alignment horizontal="center" vertical="center"/>
    </xf>
    <xf numFmtId="166" fontId="25" fillId="0" borderId="5" xfId="1" applyNumberFormat="1" applyFont="1" applyFill="1" applyBorder="1" applyAlignment="1">
      <alignment horizontal="center" vertical="center" wrapText="1"/>
    </xf>
    <xf numFmtId="166" fontId="25" fillId="0" borderId="24" xfId="1" applyNumberFormat="1" applyFont="1" applyFill="1" applyBorder="1" applyAlignment="1">
      <alignment horizontal="center" vertical="center" wrapText="1"/>
    </xf>
    <xf numFmtId="166" fontId="26" fillId="0" borderId="24" xfId="1" applyNumberFormat="1" applyFont="1" applyFill="1" applyBorder="1" applyAlignment="1">
      <alignment horizontal="center" vertical="center" wrapText="1"/>
    </xf>
    <xf numFmtId="166" fontId="25" fillId="0" borderId="43" xfId="1" applyNumberFormat="1" applyFont="1" applyFill="1" applyBorder="1" applyAlignment="1">
      <alignment horizontal="center" vertical="center" wrapText="1"/>
    </xf>
    <xf numFmtId="166" fontId="25" fillId="0" borderId="7" xfId="1" applyNumberFormat="1" applyFont="1" applyFill="1" applyBorder="1" applyAlignment="1">
      <alignment horizontal="center" vertical="center" wrapText="1"/>
    </xf>
    <xf numFmtId="166" fontId="25" fillId="0" borderId="24" xfId="1" applyNumberFormat="1" applyFont="1" applyFill="1" applyBorder="1" applyAlignment="1">
      <alignment horizontal="center" vertical="center"/>
    </xf>
    <xf numFmtId="166" fontId="25" fillId="0" borderId="3" xfId="1" applyNumberFormat="1" applyFont="1" applyFill="1" applyBorder="1" applyAlignment="1">
      <alignment horizontal="center" vertical="center" wrapText="1"/>
    </xf>
    <xf numFmtId="166" fontId="25" fillId="0" borderId="22" xfId="1" applyNumberFormat="1" applyFont="1" applyFill="1" applyBorder="1" applyAlignment="1">
      <alignment horizontal="center" vertical="center" wrapText="1"/>
    </xf>
    <xf numFmtId="2" fontId="25" fillId="0" borderId="22" xfId="1" applyNumberFormat="1" applyFont="1" applyFill="1" applyBorder="1" applyAlignment="1">
      <alignment horizontal="center" vertical="center"/>
    </xf>
    <xf numFmtId="2" fontId="25" fillId="0" borderId="32" xfId="1" applyNumberFormat="1" applyFont="1" applyFill="1" applyBorder="1" applyAlignment="1">
      <alignment horizontal="center" vertical="center"/>
    </xf>
    <xf numFmtId="166" fontId="25" fillId="0" borderId="4" xfId="1" applyNumberFormat="1" applyFont="1" applyFill="1" applyBorder="1" applyAlignment="1">
      <alignment horizontal="center" vertical="center"/>
    </xf>
    <xf numFmtId="166" fontId="25" fillId="0" borderId="7" xfId="1" applyNumberFormat="1" applyFont="1" applyFill="1" applyBorder="1" applyAlignment="1">
      <alignment horizontal="center" vertical="center"/>
    </xf>
    <xf numFmtId="166" fontId="25" fillId="0" borderId="26" xfId="1" applyNumberFormat="1" applyFont="1" applyFill="1" applyBorder="1" applyAlignment="1">
      <alignment horizontal="center" vertical="center"/>
    </xf>
    <xf numFmtId="166" fontId="26" fillId="0" borderId="3" xfId="1" applyNumberFormat="1" applyFont="1" applyFill="1" applyBorder="1" applyAlignment="1">
      <alignment horizontal="center" vertical="center"/>
    </xf>
    <xf numFmtId="2" fontId="25" fillId="0" borderId="3" xfId="1" applyNumberFormat="1" applyFont="1" applyFill="1" applyBorder="1" applyAlignment="1">
      <alignment horizontal="center" vertical="center"/>
    </xf>
    <xf numFmtId="166" fontId="25" fillId="0" borderId="25" xfId="1" applyNumberFormat="1" applyFont="1" applyFill="1" applyBorder="1" applyAlignment="1">
      <alignment horizontal="center" vertical="center"/>
    </xf>
    <xf numFmtId="166" fontId="25" fillId="0" borderId="19" xfId="1" applyNumberFormat="1" applyFont="1" applyFill="1" applyBorder="1" applyAlignment="1">
      <alignment horizontal="center" vertical="center"/>
    </xf>
    <xf numFmtId="166" fontId="25" fillId="0" borderId="21" xfId="1" applyNumberFormat="1" applyFont="1" applyFill="1" applyBorder="1" applyAlignment="1">
      <alignment horizontal="center" vertical="center"/>
    </xf>
    <xf numFmtId="165" fontId="5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23" fillId="6" borderId="3" xfId="0" applyFont="1" applyFill="1" applyBorder="1" applyAlignment="1">
      <alignment vertical="center" wrapText="1"/>
    </xf>
    <xf numFmtId="0" fontId="23" fillId="6" borderId="7" xfId="0" applyFont="1" applyFill="1" applyBorder="1" applyAlignment="1">
      <alignment vertical="center" wrapText="1"/>
    </xf>
    <xf numFmtId="0" fontId="1" fillId="4" borderId="0" xfId="1" applyFill="1"/>
    <xf numFmtId="0" fontId="1" fillId="2" borderId="0" xfId="1" applyFill="1"/>
    <xf numFmtId="0" fontId="21" fillId="0" borderId="3" xfId="1" applyFont="1" applyBorder="1" applyAlignment="1">
      <alignment horizontal="left" wrapText="1"/>
    </xf>
    <xf numFmtId="0" fontId="21" fillId="0" borderId="3" xfId="1" applyFont="1" applyBorder="1" applyAlignment="1">
      <alignment horizontal="left"/>
    </xf>
    <xf numFmtId="165" fontId="21" fillId="2" borderId="7" xfId="3" applyNumberFormat="1" applyFont="1" applyFill="1" applyBorder="1" applyAlignment="1" applyProtection="1">
      <alignment horizontal="center" vertical="center" wrapText="1"/>
      <protection locked="0"/>
    </xf>
    <xf numFmtId="165" fontId="21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wrapText="1"/>
    </xf>
    <xf numFmtId="0" fontId="25" fillId="0" borderId="7" xfId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left" wrapText="1"/>
    </xf>
    <xf numFmtId="0" fontId="21" fillId="0" borderId="3" xfId="1" applyFont="1" applyFill="1" applyBorder="1" applyAlignment="1">
      <alignment horizontal="left" wrapText="1"/>
    </xf>
    <xf numFmtId="0" fontId="21" fillId="0" borderId="3" xfId="1" applyFont="1" applyFill="1" applyBorder="1" applyAlignment="1">
      <alignment horizontal="left"/>
    </xf>
    <xf numFmtId="165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>
      <protection locked="0"/>
    </xf>
    <xf numFmtId="0" fontId="21" fillId="0" borderId="7" xfId="1" applyFont="1" applyFill="1" applyBorder="1" applyAlignment="1">
      <alignment horizontal="left" vertical="center" wrapText="1"/>
    </xf>
    <xf numFmtId="0" fontId="21" fillId="0" borderId="7" xfId="1" applyFont="1" applyFill="1" applyBorder="1" applyAlignment="1">
      <alignment horizontal="left"/>
    </xf>
    <xf numFmtId="165" fontId="21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>
      <protection locked="0"/>
    </xf>
    <xf numFmtId="0" fontId="25" fillId="0" borderId="3" xfId="1" applyFont="1" applyFill="1" applyBorder="1" applyAlignment="1">
      <alignment horizontal="left" vertical="center" wrapText="1"/>
    </xf>
    <xf numFmtId="165" fontId="25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1" applyFont="1" applyBorder="1" applyAlignment="1">
      <alignment horizontal="left"/>
    </xf>
    <xf numFmtId="0" fontId="25" fillId="0" borderId="3" xfId="1" applyFont="1" applyBorder="1" applyProtection="1">
      <protection locked="0"/>
    </xf>
    <xf numFmtId="165" fontId="21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>
      <protection locked="0"/>
    </xf>
    <xf numFmtId="0" fontId="21" fillId="0" borderId="3" xfId="1" applyFont="1" applyBorder="1" applyAlignment="1">
      <alignment horizontal="left"/>
    </xf>
    <xf numFmtId="0" fontId="43" fillId="0" borderId="3" xfId="1" applyFont="1" applyFill="1" applyBorder="1" applyAlignment="1">
      <alignment horizontal="right" vertical="center"/>
    </xf>
    <xf numFmtId="165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4" xfId="3" applyNumberFormat="1" applyFont="1" applyFill="1" applyBorder="1" applyAlignment="1" applyProtection="1">
      <alignment horizontal="center" vertical="center" wrapText="1"/>
      <protection locked="0"/>
    </xf>
    <xf numFmtId="165" fontId="4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/>
    <xf numFmtId="165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23" fillId="6" borderId="3" xfId="0" applyFont="1" applyFill="1" applyBorder="1" applyAlignment="1">
      <alignment vertical="center" wrapText="1"/>
    </xf>
    <xf numFmtId="0" fontId="23" fillId="6" borderId="7" xfId="0" applyFont="1" applyFill="1" applyBorder="1" applyAlignment="1">
      <alignment vertical="center" wrapText="1"/>
    </xf>
    <xf numFmtId="0" fontId="1" fillId="0" borderId="0" xfId="1"/>
    <xf numFmtId="0" fontId="10" fillId="0" borderId="7" xfId="1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>
      <alignment vertical="center" wrapText="1"/>
    </xf>
    <xf numFmtId="0" fontId="10" fillId="3" borderId="3" xfId="1" applyFont="1" applyFill="1" applyBorder="1" applyAlignment="1" applyProtection="1">
      <alignment horizontal="center" vertical="center" wrapText="1"/>
      <protection locked="0"/>
    </xf>
    <xf numFmtId="166" fontId="27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40" fillId="3" borderId="3" xfId="1" applyFont="1" applyFill="1" applyBorder="1" applyAlignment="1" applyProtection="1">
      <alignment horizontal="center" vertical="center" wrapText="1"/>
      <protection locked="0"/>
    </xf>
    <xf numFmtId="165" fontId="27" fillId="3" borderId="7" xfId="3" applyNumberFormat="1" applyFont="1" applyFill="1" applyBorder="1" applyAlignment="1" applyProtection="1">
      <alignment horizontal="center" vertical="center" wrapText="1"/>
      <protection locked="0"/>
    </xf>
    <xf numFmtId="0" fontId="25" fillId="3" borderId="3" xfId="1" applyFont="1" applyFill="1" applyBorder="1" applyAlignment="1">
      <alignment horizontal="left"/>
    </xf>
    <xf numFmtId="0" fontId="0" fillId="3" borderId="3" xfId="0" applyFill="1" applyBorder="1" applyAlignment="1"/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25" fillId="3" borderId="3" xfId="1" applyFont="1" applyFill="1" applyBorder="1" applyAlignment="1">
      <alignment horizontal="left" wrapText="1"/>
    </xf>
    <xf numFmtId="0" fontId="1" fillId="0" borderId="0" xfId="1" applyBorder="1" applyProtection="1">
      <protection locked="0"/>
    </xf>
    <xf numFmtId="0" fontId="9" fillId="3" borderId="44" xfId="1" applyFont="1" applyFill="1" applyBorder="1" applyAlignment="1" applyProtection="1">
      <alignment horizontal="center" vertical="center" wrapText="1"/>
      <protection locked="0"/>
    </xf>
    <xf numFmtId="166" fontId="1" fillId="0" borderId="7" xfId="1" applyNumberFormat="1" applyBorder="1"/>
    <xf numFmtId="0" fontId="21" fillId="0" borderId="7" xfId="1" applyFont="1" applyBorder="1" applyAlignment="1">
      <alignment wrapText="1"/>
    </xf>
    <xf numFmtId="166" fontId="21" fillId="0" borderId="7" xfId="8" applyNumberFormat="1" applyFont="1" applyBorder="1"/>
    <xf numFmtId="166" fontId="21" fillId="2" borderId="3" xfId="1" applyNumberFormat="1" applyFont="1" applyFill="1" applyBorder="1"/>
    <xf numFmtId="166" fontId="21" fillId="0" borderId="3" xfId="1" applyNumberFormat="1" applyFont="1" applyFill="1" applyBorder="1"/>
    <xf numFmtId="0" fontId="30" fillId="0" borderId="7" xfId="1" applyFont="1" applyFill="1" applyBorder="1" applyAlignment="1">
      <alignment wrapText="1"/>
    </xf>
    <xf numFmtId="166" fontId="21" fillId="0" borderId="7" xfId="1" applyNumberFormat="1" applyFont="1" applyBorder="1"/>
    <xf numFmtId="166" fontId="21" fillId="0" borderId="26" xfId="1" applyNumberFormat="1" applyFont="1" applyBorder="1"/>
    <xf numFmtId="165" fontId="30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>
      <alignment horizontal="right" vertical="center"/>
    </xf>
    <xf numFmtId="0" fontId="1" fillId="2" borderId="3" xfId="1" applyFont="1" applyFill="1" applyBorder="1" applyAlignment="1">
      <alignment horizontal="center" vertical="center"/>
    </xf>
    <xf numFmtId="165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3" xfId="6" applyNumberFormat="1" applyFont="1" applyFill="1" applyBorder="1" applyAlignment="1" applyProtection="1">
      <alignment horizontal="center" vertical="center" wrapText="1"/>
    </xf>
    <xf numFmtId="165" fontId="5" fillId="3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1" applyFill="1" applyProtection="1">
      <protection locked="0"/>
    </xf>
    <xf numFmtId="0" fontId="21" fillId="0" borderId="7" xfId="1" applyFont="1" applyBorder="1" applyAlignment="1">
      <alignment horizontal="left" wrapText="1"/>
    </xf>
    <xf numFmtId="0" fontId="24" fillId="0" borderId="5" xfId="1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49" fontId="23" fillId="0" borderId="5" xfId="0" applyNumberFormat="1" applyFont="1" applyFill="1" applyBorder="1" applyAlignment="1">
      <alignment vertical="top" wrapText="1"/>
    </xf>
    <xf numFmtId="0" fontId="23" fillId="0" borderId="43" xfId="0" applyFont="1" applyFill="1" applyBorder="1" applyAlignment="1">
      <alignment vertical="center" wrapText="1"/>
    </xf>
    <xf numFmtId="0" fontId="4" fillId="3" borderId="22" xfId="1" applyFont="1" applyFill="1" applyBorder="1" applyAlignment="1" applyProtection="1">
      <alignment horizontal="center" vertical="center" wrapText="1"/>
      <protection locked="0"/>
    </xf>
    <xf numFmtId="166" fontId="2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1" applyFont="1" applyFill="1" applyBorder="1" applyAlignment="1" applyProtection="1">
      <alignment horizontal="center" vertical="center" wrapText="1"/>
      <protection locked="0"/>
    </xf>
    <xf numFmtId="166" fontId="34" fillId="0" borderId="3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40" fillId="0" borderId="3" xfId="1" applyFont="1" applyFill="1" applyBorder="1" applyAlignment="1" applyProtection="1">
      <alignment horizontal="center" vertical="center" wrapText="1"/>
      <protection locked="0"/>
    </xf>
    <xf numFmtId="0" fontId="46" fillId="0" borderId="3" xfId="0" applyFont="1" applyFill="1" applyBorder="1" applyAlignment="1"/>
    <xf numFmtId="0" fontId="0" fillId="0" borderId="20" xfId="0" applyFont="1" applyFill="1" applyBorder="1" applyAlignment="1"/>
    <xf numFmtId="168" fontId="25" fillId="3" borderId="4" xfId="1" applyNumberFormat="1" applyFont="1" applyFill="1" applyBorder="1" applyAlignment="1">
      <alignment horizontal="center" vertical="center"/>
    </xf>
    <xf numFmtId="167" fontId="5" fillId="6" borderId="4" xfId="6" applyNumberFormat="1" applyFont="1" applyFill="1" applyBorder="1" applyAlignment="1" applyProtection="1">
      <alignment horizontal="center" vertical="center" wrapText="1"/>
    </xf>
    <xf numFmtId="167" fontId="5" fillId="6" borderId="0" xfId="3" applyNumberFormat="1" applyFont="1" applyFill="1" applyBorder="1" applyAlignment="1" applyProtection="1">
      <alignment horizontal="center" vertical="center" wrapText="1"/>
      <protection locked="0"/>
    </xf>
    <xf numFmtId="167" fontId="5" fillId="6" borderId="3" xfId="6" applyNumberFormat="1" applyFont="1" applyFill="1" applyBorder="1" applyAlignment="1" applyProtection="1">
      <alignment horizontal="center" vertical="center" wrapText="1"/>
    </xf>
    <xf numFmtId="167" fontId="5" fillId="6" borderId="3" xfId="3" applyNumberFormat="1" applyFont="1" applyFill="1" applyBorder="1" applyAlignment="1" applyProtection="1">
      <alignment horizontal="center" vertical="center" wrapText="1"/>
      <protection locked="0"/>
    </xf>
    <xf numFmtId="167" fontId="5" fillId="6" borderId="19" xfId="3" applyNumberFormat="1" applyFont="1" applyFill="1" applyBorder="1" applyAlignment="1" applyProtection="1">
      <alignment horizontal="center" vertical="center" wrapText="1"/>
      <protection locked="0"/>
    </xf>
    <xf numFmtId="167" fontId="24" fillId="3" borderId="3" xfId="3" applyNumberFormat="1" applyFont="1" applyFill="1" applyBorder="1" applyAlignment="1" applyProtection="1">
      <alignment horizontal="center" vertical="center" wrapText="1"/>
      <protection locked="0"/>
    </xf>
    <xf numFmtId="168" fontId="25" fillId="3" borderId="3" xfId="1" applyNumberFormat="1" applyFont="1" applyFill="1" applyBorder="1" applyAlignment="1">
      <alignment horizontal="center" vertical="center"/>
    </xf>
    <xf numFmtId="0" fontId="0" fillId="0" borderId="3" xfId="0" applyBorder="1"/>
    <xf numFmtId="166" fontId="30" fillId="6" borderId="3" xfId="3" applyNumberFormat="1" applyFont="1" applyFill="1" applyBorder="1" applyAlignment="1" applyProtection="1">
      <alignment horizontal="center" vertical="center" wrapText="1"/>
      <protection locked="0"/>
    </xf>
    <xf numFmtId="166" fontId="47" fillId="2" borderId="7" xfId="3" applyNumberFormat="1" applyFont="1" applyFill="1" applyBorder="1" applyAlignment="1" applyProtection="1">
      <alignment horizontal="center" vertical="center" wrapText="1"/>
      <protection locked="0"/>
    </xf>
    <xf numFmtId="166" fontId="42" fillId="2" borderId="7" xfId="3" applyNumberFormat="1" applyFont="1" applyFill="1" applyBorder="1" applyAlignment="1" applyProtection="1">
      <alignment horizontal="center" vertical="center" wrapText="1"/>
      <protection locked="0"/>
    </xf>
    <xf numFmtId="166" fontId="15" fillId="6" borderId="3" xfId="1" applyNumberFormat="1" applyFont="1" applyFill="1" applyBorder="1" applyAlignment="1">
      <alignment horizontal="center" vertical="center"/>
    </xf>
    <xf numFmtId="0" fontId="0" fillId="0" borderId="3" xfId="0" applyFill="1" applyBorder="1" applyAlignment="1"/>
    <xf numFmtId="166" fontId="45" fillId="0" borderId="3" xfId="14" applyNumberFormat="1" applyBorder="1"/>
    <xf numFmtId="166" fontId="45" fillId="0" borderId="4" xfId="14" applyNumberFormat="1" applyBorder="1"/>
    <xf numFmtId="0" fontId="45" fillId="0" borderId="3" xfId="14" applyBorder="1"/>
    <xf numFmtId="166" fontId="45" fillId="0" borderId="7" xfId="14" applyNumberFormat="1" applyBorder="1"/>
    <xf numFmtId="166" fontId="45" fillId="0" borderId="26" xfId="14" applyNumberFormat="1" applyBorder="1"/>
    <xf numFmtId="0" fontId="21" fillId="0" borderId="3" xfId="8" applyFont="1" applyBorder="1" applyAlignment="1">
      <alignment wrapText="1"/>
    </xf>
    <xf numFmtId="0" fontId="34" fillId="0" borderId="3" xfId="0" applyFont="1" applyBorder="1" applyAlignment="1">
      <alignment wrapText="1"/>
    </xf>
    <xf numFmtId="0" fontId="21" fillId="0" borderId="3" xfId="8" applyFont="1" applyBorder="1"/>
    <xf numFmtId="168" fontId="30" fillId="3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Protection="1">
      <protection locked="0"/>
    </xf>
    <xf numFmtId="165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1" applyFont="1" applyFill="1" applyBorder="1" applyAlignment="1">
      <alignment horizontal="left"/>
    </xf>
    <xf numFmtId="0" fontId="30" fillId="0" borderId="7" xfId="1" applyFont="1" applyFill="1" applyBorder="1" applyAlignment="1">
      <alignment horizontal="left" wrapText="1"/>
    </xf>
    <xf numFmtId="165" fontId="21" fillId="2" borderId="7" xfId="3" applyNumberFormat="1" applyFont="1" applyFill="1" applyBorder="1" applyAlignment="1" applyProtection="1">
      <alignment horizontal="center" vertical="center" wrapText="1"/>
      <protection locked="0"/>
    </xf>
    <xf numFmtId="165" fontId="21" fillId="0" borderId="7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165" fontId="21" fillId="2" borderId="7" xfId="3" applyNumberFormat="1" applyFont="1" applyFill="1" applyBorder="1" applyAlignment="1" applyProtection="1">
      <alignment horizontal="center" vertical="center" wrapText="1"/>
      <protection locked="0"/>
    </xf>
    <xf numFmtId="165" fontId="21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/>
    <xf numFmtId="0" fontId="1" fillId="0" borderId="3" xfId="1" applyBorder="1"/>
    <xf numFmtId="0" fontId="23" fillId="0" borderId="3" xfId="1" applyFont="1" applyFill="1" applyBorder="1" applyAlignment="1">
      <alignment wrapText="1"/>
    </xf>
    <xf numFmtId="2" fontId="1" fillId="0" borderId="3" xfId="1" applyNumberFormat="1" applyBorder="1" applyAlignment="1">
      <alignment horizontal="center"/>
    </xf>
    <xf numFmtId="2" fontId="1" fillId="0" borderId="3" xfId="1" applyNumberFormat="1" applyBorder="1"/>
    <xf numFmtId="166" fontId="21" fillId="2" borderId="3" xfId="1" applyNumberFormat="1" applyFont="1" applyFill="1" applyBorder="1" applyAlignment="1"/>
    <xf numFmtId="0" fontId="21" fillId="0" borderId="3" xfId="1" applyFont="1" applyFill="1" applyBorder="1" applyAlignment="1">
      <alignment horizontal="left" wrapText="1"/>
    </xf>
    <xf numFmtId="0" fontId="21" fillId="0" borderId="3" xfId="1" applyFont="1" applyFill="1" applyBorder="1" applyAlignment="1">
      <alignment horizontal="left"/>
    </xf>
    <xf numFmtId="165" fontId="21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1" applyFont="1" applyBorder="1" applyAlignment="1">
      <alignment horizontal="left"/>
    </xf>
    <xf numFmtId="0" fontId="25" fillId="0" borderId="3" xfId="1" applyFont="1" applyBorder="1" applyAlignment="1">
      <alignment horizontal="left" wrapText="1"/>
    </xf>
    <xf numFmtId="165" fontId="4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>
      <alignment vertical="center" wrapText="1"/>
    </xf>
    <xf numFmtId="166" fontId="30" fillId="6" borderId="3" xfId="3" applyNumberFormat="1" applyFont="1" applyFill="1" applyBorder="1" applyAlignment="1" applyProtection="1">
      <alignment horizontal="center" vertical="center" wrapText="1"/>
      <protection locked="0"/>
    </xf>
    <xf numFmtId="166" fontId="30" fillId="2" borderId="7" xfId="3" applyNumberFormat="1" applyFont="1" applyFill="1" applyBorder="1" applyAlignment="1" applyProtection="1">
      <alignment horizontal="center" vertical="center" wrapText="1"/>
      <protection locked="0"/>
    </xf>
    <xf numFmtId="166" fontId="21" fillId="2" borderId="7" xfId="1" applyNumberFormat="1" applyFont="1" applyFill="1" applyBorder="1" applyAlignment="1"/>
    <xf numFmtId="0" fontId="42" fillId="0" borderId="3" xfId="1" applyFont="1" applyFill="1" applyBorder="1" applyAlignment="1">
      <alignment horizontal="left" wrapText="1"/>
    </xf>
    <xf numFmtId="0" fontId="47" fillId="0" borderId="3" xfId="1" applyFont="1" applyFill="1" applyBorder="1" applyAlignment="1">
      <alignment horizontal="left"/>
    </xf>
    <xf numFmtId="0" fontId="23" fillId="0" borderId="7" xfId="0" applyFont="1" applyFill="1" applyBorder="1" applyAlignment="1">
      <alignment vertical="center" wrapText="1"/>
    </xf>
    <xf numFmtId="0" fontId="23" fillId="0" borderId="0" xfId="1" applyFont="1" applyFill="1" applyAlignment="1">
      <alignment wrapText="1"/>
    </xf>
    <xf numFmtId="2" fontId="1" fillId="0" borderId="3" xfId="1" applyNumberFormat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166" fontId="21" fillId="2" borderId="7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1" applyFont="1" applyFill="1" applyBorder="1" applyAlignment="1">
      <alignment horizontal="left" wrapText="1"/>
    </xf>
    <xf numFmtId="165" fontId="21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Protection="1">
      <protection locked="0"/>
    </xf>
    <xf numFmtId="165" fontId="21" fillId="0" borderId="3" xfId="1" applyNumberFormat="1" applyFont="1" applyFill="1" applyBorder="1" applyAlignment="1"/>
    <xf numFmtId="0" fontId="21" fillId="0" borderId="3" xfId="1" applyFont="1" applyFill="1" applyBorder="1" applyAlignment="1"/>
    <xf numFmtId="2" fontId="21" fillId="0" borderId="3" xfId="1" applyNumberFormat="1" applyFont="1" applyFill="1" applyBorder="1" applyAlignment="1"/>
    <xf numFmtId="0" fontId="1" fillId="0" borderId="21" xfId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 applyProtection="1">
      <alignment horizontal="center" vertical="center" wrapText="1"/>
      <protection locked="0"/>
    </xf>
    <xf numFmtId="0" fontId="10" fillId="0" borderId="20" xfId="1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/>
    <xf numFmtId="0" fontId="0" fillId="0" borderId="5" xfId="0" applyFill="1" applyBorder="1" applyAlignment="1"/>
    <xf numFmtId="0" fontId="0" fillId="3" borderId="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16" fillId="0" borderId="7" xfId="1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Border="1" applyAlignment="1" applyProtection="1">
      <alignment horizontal="center" vertical="top"/>
      <protection locked="0"/>
    </xf>
    <xf numFmtId="0" fontId="7" fillId="2" borderId="1" xfId="1" applyFont="1" applyFill="1" applyBorder="1" applyAlignment="1" applyProtection="1">
      <alignment horizontal="center" vertical="top"/>
      <protection locked="0"/>
    </xf>
    <xf numFmtId="0" fontId="7" fillId="2" borderId="12" xfId="1" applyFont="1" applyFill="1" applyBorder="1" applyAlignment="1" applyProtection="1">
      <alignment horizontal="center" vertical="top"/>
      <protection locked="0"/>
    </xf>
    <xf numFmtId="0" fontId="7" fillId="2" borderId="11" xfId="1" applyFont="1" applyFill="1" applyBorder="1" applyAlignment="1" applyProtection="1">
      <alignment horizontal="center" vertical="top"/>
      <protection locked="0"/>
    </xf>
    <xf numFmtId="0" fontId="2" fillId="3" borderId="14" xfId="1" applyFont="1" applyFill="1" applyBorder="1" applyAlignment="1" applyProtection="1">
      <alignment horizontal="center" vertical="center" wrapText="1"/>
      <protection locked="0"/>
    </xf>
    <xf numFmtId="0" fontId="2" fillId="3" borderId="15" xfId="1" applyFont="1" applyFill="1" applyBorder="1" applyAlignment="1" applyProtection="1">
      <alignment horizontal="center" vertical="center" wrapText="1"/>
      <protection locked="0"/>
    </xf>
    <xf numFmtId="0" fontId="2" fillId="3" borderId="16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8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32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wrapText="1"/>
    </xf>
    <xf numFmtId="0" fontId="0" fillId="0" borderId="29" xfId="0" applyBorder="1" applyAlignment="1">
      <alignment wrapText="1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3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 wrapText="1"/>
    </xf>
    <xf numFmtId="0" fontId="12" fillId="0" borderId="24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vertical="center" wrapText="1"/>
    </xf>
    <xf numFmtId="0" fontId="0" fillId="0" borderId="3" xfId="0" applyFill="1" applyBorder="1" applyAlignment="1"/>
    <xf numFmtId="0" fontId="0" fillId="0" borderId="0" xfId="0" applyFill="1" applyAlignment="1"/>
    <xf numFmtId="0" fontId="10" fillId="0" borderId="32" xfId="1" applyFont="1" applyFill="1" applyBorder="1" applyAlignment="1" applyProtection="1">
      <alignment horizontal="center" vertical="center" wrapText="1"/>
      <protection locked="0"/>
    </xf>
    <xf numFmtId="0" fontId="10" fillId="0" borderId="11" xfId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/>
    <xf numFmtId="0" fontId="0" fillId="0" borderId="29" xfId="0" applyFill="1" applyBorder="1" applyAlignment="1"/>
    <xf numFmtId="0" fontId="21" fillId="6" borderId="7" xfId="7" applyFont="1" applyFill="1" applyBorder="1" applyAlignment="1" applyProtection="1">
      <alignment horizontal="right" vertical="top" wrapText="1"/>
    </xf>
    <xf numFmtId="0" fontId="21" fillId="6" borderId="21" xfId="7" applyFont="1" applyFill="1" applyBorder="1" applyAlignment="1" applyProtection="1">
      <alignment horizontal="right" vertical="top" wrapText="1"/>
    </xf>
    <xf numFmtId="0" fontId="21" fillId="6" borderId="22" xfId="7" applyFont="1" applyFill="1" applyBorder="1" applyAlignment="1" applyProtection="1">
      <alignment horizontal="right" vertical="top" wrapText="1"/>
    </xf>
    <xf numFmtId="0" fontId="10" fillId="2" borderId="31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/>
    <xf numFmtId="0" fontId="0" fillId="2" borderId="19" xfId="0" applyFill="1" applyBorder="1" applyAlignment="1"/>
    <xf numFmtId="0" fontId="10" fillId="2" borderId="32" xfId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/>
    <xf numFmtId="0" fontId="0" fillId="6" borderId="2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7" xfId="1" applyFill="1" applyBorder="1" applyAlignment="1">
      <alignment horizontal="center" vertical="center" wrapText="1"/>
    </xf>
    <xf numFmtId="0" fontId="1" fillId="0" borderId="21" xfId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1" fillId="0" borderId="7" xfId="1" applyFont="1" applyFill="1" applyBorder="1" applyAlignment="1" applyProtection="1">
      <alignment horizontal="center" vertical="center" wrapText="1"/>
      <protection locked="0"/>
    </xf>
    <xf numFmtId="0" fontId="21" fillId="0" borderId="21" xfId="1" applyFont="1" applyFill="1" applyBorder="1" applyAlignment="1" applyProtection="1">
      <alignment horizontal="center" vertical="center" wrapText="1"/>
      <protection locked="0"/>
    </xf>
    <xf numFmtId="0" fontId="21" fillId="0" borderId="22" xfId="1" applyFont="1" applyFill="1" applyBorder="1" applyAlignment="1" applyProtection="1">
      <alignment horizontal="center" vertical="center" wrapText="1"/>
      <protection locked="0"/>
    </xf>
    <xf numFmtId="0" fontId="12" fillId="3" borderId="7" xfId="1" applyFont="1" applyFill="1" applyBorder="1" applyAlignment="1">
      <alignment horizontal="center" vertical="center" wrapText="1"/>
    </xf>
    <xf numFmtId="0" fontId="30" fillId="0" borderId="7" xfId="1" applyFont="1" applyBorder="1" applyAlignment="1">
      <alignment horizontal="center" vertical="center" wrapText="1"/>
    </xf>
    <xf numFmtId="0" fontId="1" fillId="0" borderId="7" xfId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5" fillId="0" borderId="7" xfId="0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25" fillId="0" borderId="21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/>
    <xf numFmtId="0" fontId="12" fillId="0" borderId="40" xfId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Fill="1" applyBorder="1" applyAlignment="1"/>
    <xf numFmtId="0" fontId="39" fillId="0" borderId="4" xfId="0" applyFont="1" applyFill="1" applyBorder="1" applyAlignment="1"/>
    <xf numFmtId="0" fontId="18" fillId="0" borderId="7" xfId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16" fillId="0" borderId="26" xfId="1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</cellXfs>
  <cellStyles count="17">
    <cellStyle name="Excel Built-in Comma" xfId="5"/>
    <cellStyle name="Excel Built-in Normal" xfId="4"/>
    <cellStyle name="Гиперссылка" xfId="7" builtinId="8"/>
    <cellStyle name="Обычный" xfId="0" builtinId="0"/>
    <cellStyle name="Обычный 2" xfId="1"/>
    <cellStyle name="Обычный 2 2" xfId="8"/>
    <cellStyle name="Обычный 2 2 2" xfId="11"/>
    <cellStyle name="Обычный 2 2 3" xfId="14"/>
    <cellStyle name="Финансовый" xfId="6" builtinId="3"/>
    <cellStyle name="Финансовый 2" xfId="2"/>
    <cellStyle name="Финансовый 2 2" xfId="9"/>
    <cellStyle name="Финансовый 2 2 2" xfId="12"/>
    <cellStyle name="Финансовый 2 2 3" xfId="15"/>
    <cellStyle name="Финансовый 3" xfId="3"/>
    <cellStyle name="Финансовый 3 2" xfId="10"/>
    <cellStyle name="Финансовый 3 2 2" xfId="13"/>
    <cellStyle name="Финансовый 3 2 3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0"/>
  <sheetViews>
    <sheetView tabSelected="1" view="pageBreakPreview" zoomScaleNormal="66" zoomScaleSheetLayoutView="100" workbookViewId="0">
      <selection activeCell="B83" sqref="B83:O140"/>
    </sheetView>
  </sheetViews>
  <sheetFormatPr defaultRowHeight="12.75" x14ac:dyDescent="0.2"/>
  <cols>
    <col min="1" max="1" width="29.140625" style="8" customWidth="1"/>
    <col min="2" max="2" width="37.85546875" style="3" customWidth="1"/>
    <col min="3" max="3" width="18.5703125" style="3" customWidth="1"/>
    <col min="4" max="4" width="22.28515625" style="3" customWidth="1"/>
    <col min="5" max="5" width="20.42578125" style="3" customWidth="1"/>
    <col min="6" max="6" width="16.42578125" style="3" customWidth="1"/>
    <col min="7" max="7" width="13.28515625" style="3" customWidth="1"/>
    <col min="8" max="8" width="12.28515625" style="3" customWidth="1"/>
    <col min="9" max="9" width="12.5703125" style="3" customWidth="1"/>
    <col min="10" max="10" width="12.42578125" style="3" customWidth="1"/>
    <col min="11" max="11" width="12.5703125" style="3" customWidth="1"/>
    <col min="12" max="12" width="12.42578125" style="3" customWidth="1"/>
    <col min="13" max="13" width="11.7109375" style="3" customWidth="1"/>
    <col min="14" max="14" width="13.28515625" style="3" customWidth="1"/>
    <col min="15" max="15" width="12.42578125" style="3" bestFit="1" customWidth="1"/>
    <col min="16" max="16" width="9.5703125" style="3" customWidth="1"/>
    <col min="17" max="252" width="9.140625" style="3"/>
    <col min="253" max="253" width="27.28515625" style="3" customWidth="1"/>
    <col min="254" max="254" width="38.7109375" style="3" customWidth="1"/>
    <col min="255" max="255" width="20" style="3" bestFit="1" customWidth="1"/>
    <col min="256" max="256" width="22" style="3" bestFit="1" customWidth="1"/>
    <col min="257" max="257" width="10.7109375" style="3" customWidth="1"/>
    <col min="258" max="258" width="12" style="3" customWidth="1"/>
    <col min="259" max="259" width="11.42578125" style="3" customWidth="1"/>
    <col min="260" max="260" width="11" style="3" customWidth="1"/>
    <col min="261" max="261" width="13" style="3" customWidth="1"/>
    <col min="262" max="508" width="9.140625" style="3"/>
    <col min="509" max="509" width="27.28515625" style="3" customWidth="1"/>
    <col min="510" max="510" width="38.7109375" style="3" customWidth="1"/>
    <col min="511" max="511" width="20" style="3" bestFit="1" customWidth="1"/>
    <col min="512" max="512" width="22" style="3" bestFit="1" customWidth="1"/>
    <col min="513" max="513" width="10.7109375" style="3" customWidth="1"/>
    <col min="514" max="514" width="12" style="3" customWidth="1"/>
    <col min="515" max="515" width="11.42578125" style="3" customWidth="1"/>
    <col min="516" max="516" width="11" style="3" customWidth="1"/>
    <col min="517" max="517" width="13" style="3" customWidth="1"/>
    <col min="518" max="764" width="9.140625" style="3"/>
    <col min="765" max="765" width="27.28515625" style="3" customWidth="1"/>
    <col min="766" max="766" width="38.7109375" style="3" customWidth="1"/>
    <col min="767" max="767" width="20" style="3" bestFit="1" customWidth="1"/>
    <col min="768" max="768" width="22" style="3" bestFit="1" customWidth="1"/>
    <col min="769" max="769" width="10.7109375" style="3" customWidth="1"/>
    <col min="770" max="770" width="12" style="3" customWidth="1"/>
    <col min="771" max="771" width="11.42578125" style="3" customWidth="1"/>
    <col min="772" max="772" width="11" style="3" customWidth="1"/>
    <col min="773" max="773" width="13" style="3" customWidth="1"/>
    <col min="774" max="1020" width="9.140625" style="3"/>
    <col min="1021" max="1021" width="27.28515625" style="3" customWidth="1"/>
    <col min="1022" max="1022" width="38.7109375" style="3" customWidth="1"/>
    <col min="1023" max="1023" width="20" style="3" bestFit="1" customWidth="1"/>
    <col min="1024" max="1024" width="22" style="3" bestFit="1" customWidth="1"/>
    <col min="1025" max="1025" width="10.7109375" style="3" customWidth="1"/>
    <col min="1026" max="1026" width="12" style="3" customWidth="1"/>
    <col min="1027" max="1027" width="11.42578125" style="3" customWidth="1"/>
    <col min="1028" max="1028" width="11" style="3" customWidth="1"/>
    <col min="1029" max="1029" width="13" style="3" customWidth="1"/>
    <col min="1030" max="1276" width="9.140625" style="3"/>
    <col min="1277" max="1277" width="27.28515625" style="3" customWidth="1"/>
    <col min="1278" max="1278" width="38.7109375" style="3" customWidth="1"/>
    <col min="1279" max="1279" width="20" style="3" bestFit="1" customWidth="1"/>
    <col min="1280" max="1280" width="22" style="3" bestFit="1" customWidth="1"/>
    <col min="1281" max="1281" width="10.7109375" style="3" customWidth="1"/>
    <col min="1282" max="1282" width="12" style="3" customWidth="1"/>
    <col min="1283" max="1283" width="11.42578125" style="3" customWidth="1"/>
    <col min="1284" max="1284" width="11" style="3" customWidth="1"/>
    <col min="1285" max="1285" width="13" style="3" customWidth="1"/>
    <col min="1286" max="1532" width="9.140625" style="3"/>
    <col min="1533" max="1533" width="27.28515625" style="3" customWidth="1"/>
    <col min="1534" max="1534" width="38.7109375" style="3" customWidth="1"/>
    <col min="1535" max="1535" width="20" style="3" bestFit="1" customWidth="1"/>
    <col min="1536" max="1536" width="22" style="3" bestFit="1" customWidth="1"/>
    <col min="1537" max="1537" width="10.7109375" style="3" customWidth="1"/>
    <col min="1538" max="1538" width="12" style="3" customWidth="1"/>
    <col min="1539" max="1539" width="11.42578125" style="3" customWidth="1"/>
    <col min="1540" max="1540" width="11" style="3" customWidth="1"/>
    <col min="1541" max="1541" width="13" style="3" customWidth="1"/>
    <col min="1542" max="1788" width="9.140625" style="3"/>
    <col min="1789" max="1789" width="27.28515625" style="3" customWidth="1"/>
    <col min="1790" max="1790" width="38.7109375" style="3" customWidth="1"/>
    <col min="1791" max="1791" width="20" style="3" bestFit="1" customWidth="1"/>
    <col min="1792" max="1792" width="22" style="3" bestFit="1" customWidth="1"/>
    <col min="1793" max="1793" width="10.7109375" style="3" customWidth="1"/>
    <col min="1794" max="1794" width="12" style="3" customWidth="1"/>
    <col min="1795" max="1795" width="11.42578125" style="3" customWidth="1"/>
    <col min="1796" max="1796" width="11" style="3" customWidth="1"/>
    <col min="1797" max="1797" width="13" style="3" customWidth="1"/>
    <col min="1798" max="2044" width="9.140625" style="3"/>
    <col min="2045" max="2045" width="27.28515625" style="3" customWidth="1"/>
    <col min="2046" max="2046" width="38.7109375" style="3" customWidth="1"/>
    <col min="2047" max="2047" width="20" style="3" bestFit="1" customWidth="1"/>
    <col min="2048" max="2048" width="22" style="3" bestFit="1" customWidth="1"/>
    <col min="2049" max="2049" width="10.7109375" style="3" customWidth="1"/>
    <col min="2050" max="2050" width="12" style="3" customWidth="1"/>
    <col min="2051" max="2051" width="11.42578125" style="3" customWidth="1"/>
    <col min="2052" max="2052" width="11" style="3" customWidth="1"/>
    <col min="2053" max="2053" width="13" style="3" customWidth="1"/>
    <col min="2054" max="2300" width="9.140625" style="3"/>
    <col min="2301" max="2301" width="27.28515625" style="3" customWidth="1"/>
    <col min="2302" max="2302" width="38.7109375" style="3" customWidth="1"/>
    <col min="2303" max="2303" width="20" style="3" bestFit="1" customWidth="1"/>
    <col min="2304" max="2304" width="22" style="3" bestFit="1" customWidth="1"/>
    <col min="2305" max="2305" width="10.7109375" style="3" customWidth="1"/>
    <col min="2306" max="2306" width="12" style="3" customWidth="1"/>
    <col min="2307" max="2307" width="11.42578125" style="3" customWidth="1"/>
    <col min="2308" max="2308" width="11" style="3" customWidth="1"/>
    <col min="2309" max="2309" width="13" style="3" customWidth="1"/>
    <col min="2310" max="2556" width="9.140625" style="3"/>
    <col min="2557" max="2557" width="27.28515625" style="3" customWidth="1"/>
    <col min="2558" max="2558" width="38.7109375" style="3" customWidth="1"/>
    <col min="2559" max="2559" width="20" style="3" bestFit="1" customWidth="1"/>
    <col min="2560" max="2560" width="22" style="3" bestFit="1" customWidth="1"/>
    <col min="2561" max="2561" width="10.7109375" style="3" customWidth="1"/>
    <col min="2562" max="2562" width="12" style="3" customWidth="1"/>
    <col min="2563" max="2563" width="11.42578125" style="3" customWidth="1"/>
    <col min="2564" max="2564" width="11" style="3" customWidth="1"/>
    <col min="2565" max="2565" width="13" style="3" customWidth="1"/>
    <col min="2566" max="2812" width="9.140625" style="3"/>
    <col min="2813" max="2813" width="27.28515625" style="3" customWidth="1"/>
    <col min="2814" max="2814" width="38.7109375" style="3" customWidth="1"/>
    <col min="2815" max="2815" width="20" style="3" bestFit="1" customWidth="1"/>
    <col min="2816" max="2816" width="22" style="3" bestFit="1" customWidth="1"/>
    <col min="2817" max="2817" width="10.7109375" style="3" customWidth="1"/>
    <col min="2818" max="2818" width="12" style="3" customWidth="1"/>
    <col min="2819" max="2819" width="11.42578125" style="3" customWidth="1"/>
    <col min="2820" max="2820" width="11" style="3" customWidth="1"/>
    <col min="2821" max="2821" width="13" style="3" customWidth="1"/>
    <col min="2822" max="3068" width="9.140625" style="3"/>
    <col min="3069" max="3069" width="27.28515625" style="3" customWidth="1"/>
    <col min="3070" max="3070" width="38.7109375" style="3" customWidth="1"/>
    <col min="3071" max="3071" width="20" style="3" bestFit="1" customWidth="1"/>
    <col min="3072" max="3072" width="22" style="3" bestFit="1" customWidth="1"/>
    <col min="3073" max="3073" width="10.7109375" style="3" customWidth="1"/>
    <col min="3074" max="3074" width="12" style="3" customWidth="1"/>
    <col min="3075" max="3075" width="11.42578125" style="3" customWidth="1"/>
    <col min="3076" max="3076" width="11" style="3" customWidth="1"/>
    <col min="3077" max="3077" width="13" style="3" customWidth="1"/>
    <col min="3078" max="3324" width="9.140625" style="3"/>
    <col min="3325" max="3325" width="27.28515625" style="3" customWidth="1"/>
    <col min="3326" max="3326" width="38.7109375" style="3" customWidth="1"/>
    <col min="3327" max="3327" width="20" style="3" bestFit="1" customWidth="1"/>
    <col min="3328" max="3328" width="22" style="3" bestFit="1" customWidth="1"/>
    <col min="3329" max="3329" width="10.7109375" style="3" customWidth="1"/>
    <col min="3330" max="3330" width="12" style="3" customWidth="1"/>
    <col min="3331" max="3331" width="11.42578125" style="3" customWidth="1"/>
    <col min="3332" max="3332" width="11" style="3" customWidth="1"/>
    <col min="3333" max="3333" width="13" style="3" customWidth="1"/>
    <col min="3334" max="3580" width="9.140625" style="3"/>
    <col min="3581" max="3581" width="27.28515625" style="3" customWidth="1"/>
    <col min="3582" max="3582" width="38.7109375" style="3" customWidth="1"/>
    <col min="3583" max="3583" width="20" style="3" bestFit="1" customWidth="1"/>
    <col min="3584" max="3584" width="22" style="3" bestFit="1" customWidth="1"/>
    <col min="3585" max="3585" width="10.7109375" style="3" customWidth="1"/>
    <col min="3586" max="3586" width="12" style="3" customWidth="1"/>
    <col min="3587" max="3587" width="11.42578125" style="3" customWidth="1"/>
    <col min="3588" max="3588" width="11" style="3" customWidth="1"/>
    <col min="3589" max="3589" width="13" style="3" customWidth="1"/>
    <col min="3590" max="3836" width="9.140625" style="3"/>
    <col min="3837" max="3837" width="27.28515625" style="3" customWidth="1"/>
    <col min="3838" max="3838" width="38.7109375" style="3" customWidth="1"/>
    <col min="3839" max="3839" width="20" style="3" bestFit="1" customWidth="1"/>
    <col min="3840" max="3840" width="22" style="3" bestFit="1" customWidth="1"/>
    <col min="3841" max="3841" width="10.7109375" style="3" customWidth="1"/>
    <col min="3842" max="3842" width="12" style="3" customWidth="1"/>
    <col min="3843" max="3843" width="11.42578125" style="3" customWidth="1"/>
    <col min="3844" max="3844" width="11" style="3" customWidth="1"/>
    <col min="3845" max="3845" width="13" style="3" customWidth="1"/>
    <col min="3846" max="4092" width="9.140625" style="3"/>
    <col min="4093" max="4093" width="27.28515625" style="3" customWidth="1"/>
    <col min="4094" max="4094" width="38.7109375" style="3" customWidth="1"/>
    <col min="4095" max="4095" width="20" style="3" bestFit="1" customWidth="1"/>
    <col min="4096" max="4096" width="22" style="3" bestFit="1" customWidth="1"/>
    <col min="4097" max="4097" width="10.7109375" style="3" customWidth="1"/>
    <col min="4098" max="4098" width="12" style="3" customWidth="1"/>
    <col min="4099" max="4099" width="11.42578125" style="3" customWidth="1"/>
    <col min="4100" max="4100" width="11" style="3" customWidth="1"/>
    <col min="4101" max="4101" width="13" style="3" customWidth="1"/>
    <col min="4102" max="4348" width="9.140625" style="3"/>
    <col min="4349" max="4349" width="27.28515625" style="3" customWidth="1"/>
    <col min="4350" max="4350" width="38.7109375" style="3" customWidth="1"/>
    <col min="4351" max="4351" width="20" style="3" bestFit="1" customWidth="1"/>
    <col min="4352" max="4352" width="22" style="3" bestFit="1" customWidth="1"/>
    <col min="4353" max="4353" width="10.7109375" style="3" customWidth="1"/>
    <col min="4354" max="4354" width="12" style="3" customWidth="1"/>
    <col min="4355" max="4355" width="11.42578125" style="3" customWidth="1"/>
    <col min="4356" max="4356" width="11" style="3" customWidth="1"/>
    <col min="4357" max="4357" width="13" style="3" customWidth="1"/>
    <col min="4358" max="4604" width="9.140625" style="3"/>
    <col min="4605" max="4605" width="27.28515625" style="3" customWidth="1"/>
    <col min="4606" max="4606" width="38.7109375" style="3" customWidth="1"/>
    <col min="4607" max="4607" width="20" style="3" bestFit="1" customWidth="1"/>
    <col min="4608" max="4608" width="22" style="3" bestFit="1" customWidth="1"/>
    <col min="4609" max="4609" width="10.7109375" style="3" customWidth="1"/>
    <col min="4610" max="4610" width="12" style="3" customWidth="1"/>
    <col min="4611" max="4611" width="11.42578125" style="3" customWidth="1"/>
    <col min="4612" max="4612" width="11" style="3" customWidth="1"/>
    <col min="4613" max="4613" width="13" style="3" customWidth="1"/>
    <col min="4614" max="4860" width="9.140625" style="3"/>
    <col min="4861" max="4861" width="27.28515625" style="3" customWidth="1"/>
    <col min="4862" max="4862" width="38.7109375" style="3" customWidth="1"/>
    <col min="4863" max="4863" width="20" style="3" bestFit="1" customWidth="1"/>
    <col min="4864" max="4864" width="22" style="3" bestFit="1" customWidth="1"/>
    <col min="4865" max="4865" width="10.7109375" style="3" customWidth="1"/>
    <col min="4866" max="4866" width="12" style="3" customWidth="1"/>
    <col min="4867" max="4867" width="11.42578125" style="3" customWidth="1"/>
    <col min="4868" max="4868" width="11" style="3" customWidth="1"/>
    <col min="4869" max="4869" width="13" style="3" customWidth="1"/>
    <col min="4870" max="5116" width="9.140625" style="3"/>
    <col min="5117" max="5117" width="27.28515625" style="3" customWidth="1"/>
    <col min="5118" max="5118" width="38.7109375" style="3" customWidth="1"/>
    <col min="5119" max="5119" width="20" style="3" bestFit="1" customWidth="1"/>
    <col min="5120" max="5120" width="22" style="3" bestFit="1" customWidth="1"/>
    <col min="5121" max="5121" width="10.7109375" style="3" customWidth="1"/>
    <col min="5122" max="5122" width="12" style="3" customWidth="1"/>
    <col min="5123" max="5123" width="11.42578125" style="3" customWidth="1"/>
    <col min="5124" max="5124" width="11" style="3" customWidth="1"/>
    <col min="5125" max="5125" width="13" style="3" customWidth="1"/>
    <col min="5126" max="5372" width="9.140625" style="3"/>
    <col min="5373" max="5373" width="27.28515625" style="3" customWidth="1"/>
    <col min="5374" max="5374" width="38.7109375" style="3" customWidth="1"/>
    <col min="5375" max="5375" width="20" style="3" bestFit="1" customWidth="1"/>
    <col min="5376" max="5376" width="22" style="3" bestFit="1" customWidth="1"/>
    <col min="5377" max="5377" width="10.7109375" style="3" customWidth="1"/>
    <col min="5378" max="5378" width="12" style="3" customWidth="1"/>
    <col min="5379" max="5379" width="11.42578125" style="3" customWidth="1"/>
    <col min="5380" max="5380" width="11" style="3" customWidth="1"/>
    <col min="5381" max="5381" width="13" style="3" customWidth="1"/>
    <col min="5382" max="5628" width="9.140625" style="3"/>
    <col min="5629" max="5629" width="27.28515625" style="3" customWidth="1"/>
    <col min="5630" max="5630" width="38.7109375" style="3" customWidth="1"/>
    <col min="5631" max="5631" width="20" style="3" bestFit="1" customWidth="1"/>
    <col min="5632" max="5632" width="22" style="3" bestFit="1" customWidth="1"/>
    <col min="5633" max="5633" width="10.7109375" style="3" customWidth="1"/>
    <col min="5634" max="5634" width="12" style="3" customWidth="1"/>
    <col min="5635" max="5635" width="11.42578125" style="3" customWidth="1"/>
    <col min="5636" max="5636" width="11" style="3" customWidth="1"/>
    <col min="5637" max="5637" width="13" style="3" customWidth="1"/>
    <col min="5638" max="5884" width="9.140625" style="3"/>
    <col min="5885" max="5885" width="27.28515625" style="3" customWidth="1"/>
    <col min="5886" max="5886" width="38.7109375" style="3" customWidth="1"/>
    <col min="5887" max="5887" width="20" style="3" bestFit="1" customWidth="1"/>
    <col min="5888" max="5888" width="22" style="3" bestFit="1" customWidth="1"/>
    <col min="5889" max="5889" width="10.7109375" style="3" customWidth="1"/>
    <col min="5890" max="5890" width="12" style="3" customWidth="1"/>
    <col min="5891" max="5891" width="11.42578125" style="3" customWidth="1"/>
    <col min="5892" max="5892" width="11" style="3" customWidth="1"/>
    <col min="5893" max="5893" width="13" style="3" customWidth="1"/>
    <col min="5894" max="6140" width="9.140625" style="3"/>
    <col min="6141" max="6141" width="27.28515625" style="3" customWidth="1"/>
    <col min="6142" max="6142" width="38.7109375" style="3" customWidth="1"/>
    <col min="6143" max="6143" width="20" style="3" bestFit="1" customWidth="1"/>
    <col min="6144" max="6144" width="22" style="3" bestFit="1" customWidth="1"/>
    <col min="6145" max="6145" width="10.7109375" style="3" customWidth="1"/>
    <col min="6146" max="6146" width="12" style="3" customWidth="1"/>
    <col min="6147" max="6147" width="11.42578125" style="3" customWidth="1"/>
    <col min="6148" max="6148" width="11" style="3" customWidth="1"/>
    <col min="6149" max="6149" width="13" style="3" customWidth="1"/>
    <col min="6150" max="6396" width="9.140625" style="3"/>
    <col min="6397" max="6397" width="27.28515625" style="3" customWidth="1"/>
    <col min="6398" max="6398" width="38.7109375" style="3" customWidth="1"/>
    <col min="6399" max="6399" width="20" style="3" bestFit="1" customWidth="1"/>
    <col min="6400" max="6400" width="22" style="3" bestFit="1" customWidth="1"/>
    <col min="6401" max="6401" width="10.7109375" style="3" customWidth="1"/>
    <col min="6402" max="6402" width="12" style="3" customWidth="1"/>
    <col min="6403" max="6403" width="11.42578125" style="3" customWidth="1"/>
    <col min="6404" max="6404" width="11" style="3" customWidth="1"/>
    <col min="6405" max="6405" width="13" style="3" customWidth="1"/>
    <col min="6406" max="6652" width="9.140625" style="3"/>
    <col min="6653" max="6653" width="27.28515625" style="3" customWidth="1"/>
    <col min="6654" max="6654" width="38.7109375" style="3" customWidth="1"/>
    <col min="6655" max="6655" width="20" style="3" bestFit="1" customWidth="1"/>
    <col min="6656" max="6656" width="22" style="3" bestFit="1" customWidth="1"/>
    <col min="6657" max="6657" width="10.7109375" style="3" customWidth="1"/>
    <col min="6658" max="6658" width="12" style="3" customWidth="1"/>
    <col min="6659" max="6659" width="11.42578125" style="3" customWidth="1"/>
    <col min="6660" max="6660" width="11" style="3" customWidth="1"/>
    <col min="6661" max="6661" width="13" style="3" customWidth="1"/>
    <col min="6662" max="6908" width="9.140625" style="3"/>
    <col min="6909" max="6909" width="27.28515625" style="3" customWidth="1"/>
    <col min="6910" max="6910" width="38.7109375" style="3" customWidth="1"/>
    <col min="6911" max="6911" width="20" style="3" bestFit="1" customWidth="1"/>
    <col min="6912" max="6912" width="22" style="3" bestFit="1" customWidth="1"/>
    <col min="6913" max="6913" width="10.7109375" style="3" customWidth="1"/>
    <col min="6914" max="6914" width="12" style="3" customWidth="1"/>
    <col min="6915" max="6915" width="11.42578125" style="3" customWidth="1"/>
    <col min="6916" max="6916" width="11" style="3" customWidth="1"/>
    <col min="6917" max="6917" width="13" style="3" customWidth="1"/>
    <col min="6918" max="7164" width="9.140625" style="3"/>
    <col min="7165" max="7165" width="27.28515625" style="3" customWidth="1"/>
    <col min="7166" max="7166" width="38.7109375" style="3" customWidth="1"/>
    <col min="7167" max="7167" width="20" style="3" bestFit="1" customWidth="1"/>
    <col min="7168" max="7168" width="22" style="3" bestFit="1" customWidth="1"/>
    <col min="7169" max="7169" width="10.7109375" style="3" customWidth="1"/>
    <col min="7170" max="7170" width="12" style="3" customWidth="1"/>
    <col min="7171" max="7171" width="11.42578125" style="3" customWidth="1"/>
    <col min="7172" max="7172" width="11" style="3" customWidth="1"/>
    <col min="7173" max="7173" width="13" style="3" customWidth="1"/>
    <col min="7174" max="7420" width="9.140625" style="3"/>
    <col min="7421" max="7421" width="27.28515625" style="3" customWidth="1"/>
    <col min="7422" max="7422" width="38.7109375" style="3" customWidth="1"/>
    <col min="7423" max="7423" width="20" style="3" bestFit="1" customWidth="1"/>
    <col min="7424" max="7424" width="22" style="3" bestFit="1" customWidth="1"/>
    <col min="7425" max="7425" width="10.7109375" style="3" customWidth="1"/>
    <col min="7426" max="7426" width="12" style="3" customWidth="1"/>
    <col min="7427" max="7427" width="11.42578125" style="3" customWidth="1"/>
    <col min="7428" max="7428" width="11" style="3" customWidth="1"/>
    <col min="7429" max="7429" width="13" style="3" customWidth="1"/>
    <col min="7430" max="7676" width="9.140625" style="3"/>
    <col min="7677" max="7677" width="27.28515625" style="3" customWidth="1"/>
    <col min="7678" max="7678" width="38.7109375" style="3" customWidth="1"/>
    <col min="7679" max="7679" width="20" style="3" bestFit="1" customWidth="1"/>
    <col min="7680" max="7680" width="22" style="3" bestFit="1" customWidth="1"/>
    <col min="7681" max="7681" width="10.7109375" style="3" customWidth="1"/>
    <col min="7682" max="7682" width="12" style="3" customWidth="1"/>
    <col min="7683" max="7683" width="11.42578125" style="3" customWidth="1"/>
    <col min="7684" max="7684" width="11" style="3" customWidth="1"/>
    <col min="7685" max="7685" width="13" style="3" customWidth="1"/>
    <col min="7686" max="7932" width="9.140625" style="3"/>
    <col min="7933" max="7933" width="27.28515625" style="3" customWidth="1"/>
    <col min="7934" max="7934" width="38.7109375" style="3" customWidth="1"/>
    <col min="7935" max="7935" width="20" style="3" bestFit="1" customWidth="1"/>
    <col min="7936" max="7936" width="22" style="3" bestFit="1" customWidth="1"/>
    <col min="7937" max="7937" width="10.7109375" style="3" customWidth="1"/>
    <col min="7938" max="7938" width="12" style="3" customWidth="1"/>
    <col min="7939" max="7939" width="11.42578125" style="3" customWidth="1"/>
    <col min="7940" max="7940" width="11" style="3" customWidth="1"/>
    <col min="7941" max="7941" width="13" style="3" customWidth="1"/>
    <col min="7942" max="8188" width="9.140625" style="3"/>
    <col min="8189" max="8189" width="27.28515625" style="3" customWidth="1"/>
    <col min="8190" max="8190" width="38.7109375" style="3" customWidth="1"/>
    <col min="8191" max="8191" width="20" style="3" bestFit="1" customWidth="1"/>
    <col min="8192" max="8192" width="22" style="3" bestFit="1" customWidth="1"/>
    <col min="8193" max="8193" width="10.7109375" style="3" customWidth="1"/>
    <col min="8194" max="8194" width="12" style="3" customWidth="1"/>
    <col min="8195" max="8195" width="11.42578125" style="3" customWidth="1"/>
    <col min="8196" max="8196" width="11" style="3" customWidth="1"/>
    <col min="8197" max="8197" width="13" style="3" customWidth="1"/>
    <col min="8198" max="8444" width="9.140625" style="3"/>
    <col min="8445" max="8445" width="27.28515625" style="3" customWidth="1"/>
    <col min="8446" max="8446" width="38.7109375" style="3" customWidth="1"/>
    <col min="8447" max="8447" width="20" style="3" bestFit="1" customWidth="1"/>
    <col min="8448" max="8448" width="22" style="3" bestFit="1" customWidth="1"/>
    <col min="8449" max="8449" width="10.7109375" style="3" customWidth="1"/>
    <col min="8450" max="8450" width="12" style="3" customWidth="1"/>
    <col min="8451" max="8451" width="11.42578125" style="3" customWidth="1"/>
    <col min="8452" max="8452" width="11" style="3" customWidth="1"/>
    <col min="8453" max="8453" width="13" style="3" customWidth="1"/>
    <col min="8454" max="8700" width="9.140625" style="3"/>
    <col min="8701" max="8701" width="27.28515625" style="3" customWidth="1"/>
    <col min="8702" max="8702" width="38.7109375" style="3" customWidth="1"/>
    <col min="8703" max="8703" width="20" style="3" bestFit="1" customWidth="1"/>
    <col min="8704" max="8704" width="22" style="3" bestFit="1" customWidth="1"/>
    <col min="8705" max="8705" width="10.7109375" style="3" customWidth="1"/>
    <col min="8706" max="8706" width="12" style="3" customWidth="1"/>
    <col min="8707" max="8707" width="11.42578125" style="3" customWidth="1"/>
    <col min="8708" max="8708" width="11" style="3" customWidth="1"/>
    <col min="8709" max="8709" width="13" style="3" customWidth="1"/>
    <col min="8710" max="8956" width="9.140625" style="3"/>
    <col min="8957" max="8957" width="27.28515625" style="3" customWidth="1"/>
    <col min="8958" max="8958" width="38.7109375" style="3" customWidth="1"/>
    <col min="8959" max="8959" width="20" style="3" bestFit="1" customWidth="1"/>
    <col min="8960" max="8960" width="22" style="3" bestFit="1" customWidth="1"/>
    <col min="8961" max="8961" width="10.7109375" style="3" customWidth="1"/>
    <col min="8962" max="8962" width="12" style="3" customWidth="1"/>
    <col min="8963" max="8963" width="11.42578125" style="3" customWidth="1"/>
    <col min="8964" max="8964" width="11" style="3" customWidth="1"/>
    <col min="8965" max="8965" width="13" style="3" customWidth="1"/>
    <col min="8966" max="9212" width="9.140625" style="3"/>
    <col min="9213" max="9213" width="27.28515625" style="3" customWidth="1"/>
    <col min="9214" max="9214" width="38.7109375" style="3" customWidth="1"/>
    <col min="9215" max="9215" width="20" style="3" bestFit="1" customWidth="1"/>
    <col min="9216" max="9216" width="22" style="3" bestFit="1" customWidth="1"/>
    <col min="9217" max="9217" width="10.7109375" style="3" customWidth="1"/>
    <col min="9218" max="9218" width="12" style="3" customWidth="1"/>
    <col min="9219" max="9219" width="11.42578125" style="3" customWidth="1"/>
    <col min="9220" max="9220" width="11" style="3" customWidth="1"/>
    <col min="9221" max="9221" width="13" style="3" customWidth="1"/>
    <col min="9222" max="9468" width="9.140625" style="3"/>
    <col min="9469" max="9469" width="27.28515625" style="3" customWidth="1"/>
    <col min="9470" max="9470" width="38.7109375" style="3" customWidth="1"/>
    <col min="9471" max="9471" width="20" style="3" bestFit="1" customWidth="1"/>
    <col min="9472" max="9472" width="22" style="3" bestFit="1" customWidth="1"/>
    <col min="9473" max="9473" width="10.7109375" style="3" customWidth="1"/>
    <col min="9474" max="9474" width="12" style="3" customWidth="1"/>
    <col min="9475" max="9475" width="11.42578125" style="3" customWidth="1"/>
    <col min="9476" max="9476" width="11" style="3" customWidth="1"/>
    <col min="9477" max="9477" width="13" style="3" customWidth="1"/>
    <col min="9478" max="9724" width="9.140625" style="3"/>
    <col min="9725" max="9725" width="27.28515625" style="3" customWidth="1"/>
    <col min="9726" max="9726" width="38.7109375" style="3" customWidth="1"/>
    <col min="9727" max="9727" width="20" style="3" bestFit="1" customWidth="1"/>
    <col min="9728" max="9728" width="22" style="3" bestFit="1" customWidth="1"/>
    <col min="9729" max="9729" width="10.7109375" style="3" customWidth="1"/>
    <col min="9730" max="9730" width="12" style="3" customWidth="1"/>
    <col min="9731" max="9731" width="11.42578125" style="3" customWidth="1"/>
    <col min="9732" max="9732" width="11" style="3" customWidth="1"/>
    <col min="9733" max="9733" width="13" style="3" customWidth="1"/>
    <col min="9734" max="9980" width="9.140625" style="3"/>
    <col min="9981" max="9981" width="27.28515625" style="3" customWidth="1"/>
    <col min="9982" max="9982" width="38.7109375" style="3" customWidth="1"/>
    <col min="9983" max="9983" width="20" style="3" bestFit="1" customWidth="1"/>
    <col min="9984" max="9984" width="22" style="3" bestFit="1" customWidth="1"/>
    <col min="9985" max="9985" width="10.7109375" style="3" customWidth="1"/>
    <col min="9986" max="9986" width="12" style="3" customWidth="1"/>
    <col min="9987" max="9987" width="11.42578125" style="3" customWidth="1"/>
    <col min="9988" max="9988" width="11" style="3" customWidth="1"/>
    <col min="9989" max="9989" width="13" style="3" customWidth="1"/>
    <col min="9990" max="10236" width="9.140625" style="3"/>
    <col min="10237" max="10237" width="27.28515625" style="3" customWidth="1"/>
    <col min="10238" max="10238" width="38.7109375" style="3" customWidth="1"/>
    <col min="10239" max="10239" width="20" style="3" bestFit="1" customWidth="1"/>
    <col min="10240" max="10240" width="22" style="3" bestFit="1" customWidth="1"/>
    <col min="10241" max="10241" width="10.7109375" style="3" customWidth="1"/>
    <col min="10242" max="10242" width="12" style="3" customWidth="1"/>
    <col min="10243" max="10243" width="11.42578125" style="3" customWidth="1"/>
    <col min="10244" max="10244" width="11" style="3" customWidth="1"/>
    <col min="10245" max="10245" width="13" style="3" customWidth="1"/>
    <col min="10246" max="10492" width="9.140625" style="3"/>
    <col min="10493" max="10493" width="27.28515625" style="3" customWidth="1"/>
    <col min="10494" max="10494" width="38.7109375" style="3" customWidth="1"/>
    <col min="10495" max="10495" width="20" style="3" bestFit="1" customWidth="1"/>
    <col min="10496" max="10496" width="22" style="3" bestFit="1" customWidth="1"/>
    <col min="10497" max="10497" width="10.7109375" style="3" customWidth="1"/>
    <col min="10498" max="10498" width="12" style="3" customWidth="1"/>
    <col min="10499" max="10499" width="11.42578125" style="3" customWidth="1"/>
    <col min="10500" max="10500" width="11" style="3" customWidth="1"/>
    <col min="10501" max="10501" width="13" style="3" customWidth="1"/>
    <col min="10502" max="10748" width="9.140625" style="3"/>
    <col min="10749" max="10749" width="27.28515625" style="3" customWidth="1"/>
    <col min="10750" max="10750" width="38.7109375" style="3" customWidth="1"/>
    <col min="10751" max="10751" width="20" style="3" bestFit="1" customWidth="1"/>
    <col min="10752" max="10752" width="22" style="3" bestFit="1" customWidth="1"/>
    <col min="10753" max="10753" width="10.7109375" style="3" customWidth="1"/>
    <col min="10754" max="10754" width="12" style="3" customWidth="1"/>
    <col min="10755" max="10755" width="11.42578125" style="3" customWidth="1"/>
    <col min="10756" max="10756" width="11" style="3" customWidth="1"/>
    <col min="10757" max="10757" width="13" style="3" customWidth="1"/>
    <col min="10758" max="11004" width="9.140625" style="3"/>
    <col min="11005" max="11005" width="27.28515625" style="3" customWidth="1"/>
    <col min="11006" max="11006" width="38.7109375" style="3" customWidth="1"/>
    <col min="11007" max="11007" width="20" style="3" bestFit="1" customWidth="1"/>
    <col min="11008" max="11008" width="22" style="3" bestFit="1" customWidth="1"/>
    <col min="11009" max="11009" width="10.7109375" style="3" customWidth="1"/>
    <col min="11010" max="11010" width="12" style="3" customWidth="1"/>
    <col min="11011" max="11011" width="11.42578125" style="3" customWidth="1"/>
    <col min="11012" max="11012" width="11" style="3" customWidth="1"/>
    <col min="11013" max="11013" width="13" style="3" customWidth="1"/>
    <col min="11014" max="11260" width="9.140625" style="3"/>
    <col min="11261" max="11261" width="27.28515625" style="3" customWidth="1"/>
    <col min="11262" max="11262" width="38.7109375" style="3" customWidth="1"/>
    <col min="11263" max="11263" width="20" style="3" bestFit="1" customWidth="1"/>
    <col min="11264" max="11264" width="22" style="3" bestFit="1" customWidth="1"/>
    <col min="11265" max="11265" width="10.7109375" style="3" customWidth="1"/>
    <col min="11266" max="11266" width="12" style="3" customWidth="1"/>
    <col min="11267" max="11267" width="11.42578125" style="3" customWidth="1"/>
    <col min="11268" max="11268" width="11" style="3" customWidth="1"/>
    <col min="11269" max="11269" width="13" style="3" customWidth="1"/>
    <col min="11270" max="11516" width="9.140625" style="3"/>
    <col min="11517" max="11517" width="27.28515625" style="3" customWidth="1"/>
    <col min="11518" max="11518" width="38.7109375" style="3" customWidth="1"/>
    <col min="11519" max="11519" width="20" style="3" bestFit="1" customWidth="1"/>
    <col min="11520" max="11520" width="22" style="3" bestFit="1" customWidth="1"/>
    <col min="11521" max="11521" width="10.7109375" style="3" customWidth="1"/>
    <col min="11522" max="11522" width="12" style="3" customWidth="1"/>
    <col min="11523" max="11523" width="11.42578125" style="3" customWidth="1"/>
    <col min="11524" max="11524" width="11" style="3" customWidth="1"/>
    <col min="11525" max="11525" width="13" style="3" customWidth="1"/>
    <col min="11526" max="11772" width="9.140625" style="3"/>
    <col min="11773" max="11773" width="27.28515625" style="3" customWidth="1"/>
    <col min="11774" max="11774" width="38.7109375" style="3" customWidth="1"/>
    <col min="11775" max="11775" width="20" style="3" bestFit="1" customWidth="1"/>
    <col min="11776" max="11776" width="22" style="3" bestFit="1" customWidth="1"/>
    <col min="11777" max="11777" width="10.7109375" style="3" customWidth="1"/>
    <col min="11778" max="11778" width="12" style="3" customWidth="1"/>
    <col min="11779" max="11779" width="11.42578125" style="3" customWidth="1"/>
    <col min="11780" max="11780" width="11" style="3" customWidth="1"/>
    <col min="11781" max="11781" width="13" style="3" customWidth="1"/>
    <col min="11782" max="12028" width="9.140625" style="3"/>
    <col min="12029" max="12029" width="27.28515625" style="3" customWidth="1"/>
    <col min="12030" max="12030" width="38.7109375" style="3" customWidth="1"/>
    <col min="12031" max="12031" width="20" style="3" bestFit="1" customWidth="1"/>
    <col min="12032" max="12032" width="22" style="3" bestFit="1" customWidth="1"/>
    <col min="12033" max="12033" width="10.7109375" style="3" customWidth="1"/>
    <col min="12034" max="12034" width="12" style="3" customWidth="1"/>
    <col min="12035" max="12035" width="11.42578125" style="3" customWidth="1"/>
    <col min="12036" max="12036" width="11" style="3" customWidth="1"/>
    <col min="12037" max="12037" width="13" style="3" customWidth="1"/>
    <col min="12038" max="12284" width="9.140625" style="3"/>
    <col min="12285" max="12285" width="27.28515625" style="3" customWidth="1"/>
    <col min="12286" max="12286" width="38.7109375" style="3" customWidth="1"/>
    <col min="12287" max="12287" width="20" style="3" bestFit="1" customWidth="1"/>
    <col min="12288" max="12288" width="22" style="3" bestFit="1" customWidth="1"/>
    <col min="12289" max="12289" width="10.7109375" style="3" customWidth="1"/>
    <col min="12290" max="12290" width="12" style="3" customWidth="1"/>
    <col min="12291" max="12291" width="11.42578125" style="3" customWidth="1"/>
    <col min="12292" max="12292" width="11" style="3" customWidth="1"/>
    <col min="12293" max="12293" width="13" style="3" customWidth="1"/>
    <col min="12294" max="12540" width="9.140625" style="3"/>
    <col min="12541" max="12541" width="27.28515625" style="3" customWidth="1"/>
    <col min="12542" max="12542" width="38.7109375" style="3" customWidth="1"/>
    <col min="12543" max="12543" width="20" style="3" bestFit="1" customWidth="1"/>
    <col min="12544" max="12544" width="22" style="3" bestFit="1" customWidth="1"/>
    <col min="12545" max="12545" width="10.7109375" style="3" customWidth="1"/>
    <col min="12546" max="12546" width="12" style="3" customWidth="1"/>
    <col min="12547" max="12547" width="11.42578125" style="3" customWidth="1"/>
    <col min="12548" max="12548" width="11" style="3" customWidth="1"/>
    <col min="12549" max="12549" width="13" style="3" customWidth="1"/>
    <col min="12550" max="12796" width="9.140625" style="3"/>
    <col min="12797" max="12797" width="27.28515625" style="3" customWidth="1"/>
    <col min="12798" max="12798" width="38.7109375" style="3" customWidth="1"/>
    <col min="12799" max="12799" width="20" style="3" bestFit="1" customWidth="1"/>
    <col min="12800" max="12800" width="22" style="3" bestFit="1" customWidth="1"/>
    <col min="12801" max="12801" width="10.7109375" style="3" customWidth="1"/>
    <col min="12802" max="12802" width="12" style="3" customWidth="1"/>
    <col min="12803" max="12803" width="11.42578125" style="3" customWidth="1"/>
    <col min="12804" max="12804" width="11" style="3" customWidth="1"/>
    <col min="12805" max="12805" width="13" style="3" customWidth="1"/>
    <col min="12806" max="13052" width="9.140625" style="3"/>
    <col min="13053" max="13053" width="27.28515625" style="3" customWidth="1"/>
    <col min="13054" max="13054" width="38.7109375" style="3" customWidth="1"/>
    <col min="13055" max="13055" width="20" style="3" bestFit="1" customWidth="1"/>
    <col min="13056" max="13056" width="22" style="3" bestFit="1" customWidth="1"/>
    <col min="13057" max="13057" width="10.7109375" style="3" customWidth="1"/>
    <col min="13058" max="13058" width="12" style="3" customWidth="1"/>
    <col min="13059" max="13059" width="11.42578125" style="3" customWidth="1"/>
    <col min="13060" max="13060" width="11" style="3" customWidth="1"/>
    <col min="13061" max="13061" width="13" style="3" customWidth="1"/>
    <col min="13062" max="13308" width="9.140625" style="3"/>
    <col min="13309" max="13309" width="27.28515625" style="3" customWidth="1"/>
    <col min="13310" max="13310" width="38.7109375" style="3" customWidth="1"/>
    <col min="13311" max="13311" width="20" style="3" bestFit="1" customWidth="1"/>
    <col min="13312" max="13312" width="22" style="3" bestFit="1" customWidth="1"/>
    <col min="13313" max="13313" width="10.7109375" style="3" customWidth="1"/>
    <col min="13314" max="13314" width="12" style="3" customWidth="1"/>
    <col min="13315" max="13315" width="11.42578125" style="3" customWidth="1"/>
    <col min="13316" max="13316" width="11" style="3" customWidth="1"/>
    <col min="13317" max="13317" width="13" style="3" customWidth="1"/>
    <col min="13318" max="13564" width="9.140625" style="3"/>
    <col min="13565" max="13565" width="27.28515625" style="3" customWidth="1"/>
    <col min="13566" max="13566" width="38.7109375" style="3" customWidth="1"/>
    <col min="13567" max="13567" width="20" style="3" bestFit="1" customWidth="1"/>
    <col min="13568" max="13568" width="22" style="3" bestFit="1" customWidth="1"/>
    <col min="13569" max="13569" width="10.7109375" style="3" customWidth="1"/>
    <col min="13570" max="13570" width="12" style="3" customWidth="1"/>
    <col min="13571" max="13571" width="11.42578125" style="3" customWidth="1"/>
    <col min="13572" max="13572" width="11" style="3" customWidth="1"/>
    <col min="13573" max="13573" width="13" style="3" customWidth="1"/>
    <col min="13574" max="13820" width="9.140625" style="3"/>
    <col min="13821" max="13821" width="27.28515625" style="3" customWidth="1"/>
    <col min="13822" max="13822" width="38.7109375" style="3" customWidth="1"/>
    <col min="13823" max="13823" width="20" style="3" bestFit="1" customWidth="1"/>
    <col min="13824" max="13824" width="22" style="3" bestFit="1" customWidth="1"/>
    <col min="13825" max="13825" width="10.7109375" style="3" customWidth="1"/>
    <col min="13826" max="13826" width="12" style="3" customWidth="1"/>
    <col min="13827" max="13827" width="11.42578125" style="3" customWidth="1"/>
    <col min="13828" max="13828" width="11" style="3" customWidth="1"/>
    <col min="13829" max="13829" width="13" style="3" customWidth="1"/>
    <col min="13830" max="14076" width="9.140625" style="3"/>
    <col min="14077" max="14077" width="27.28515625" style="3" customWidth="1"/>
    <col min="14078" max="14078" width="38.7109375" style="3" customWidth="1"/>
    <col min="14079" max="14079" width="20" style="3" bestFit="1" customWidth="1"/>
    <col min="14080" max="14080" width="22" style="3" bestFit="1" customWidth="1"/>
    <col min="14081" max="14081" width="10.7109375" style="3" customWidth="1"/>
    <col min="14082" max="14082" width="12" style="3" customWidth="1"/>
    <col min="14083" max="14083" width="11.42578125" style="3" customWidth="1"/>
    <col min="14084" max="14084" width="11" style="3" customWidth="1"/>
    <col min="14085" max="14085" width="13" style="3" customWidth="1"/>
    <col min="14086" max="14332" width="9.140625" style="3"/>
    <col min="14333" max="14333" width="27.28515625" style="3" customWidth="1"/>
    <col min="14334" max="14334" width="38.7109375" style="3" customWidth="1"/>
    <col min="14335" max="14335" width="20" style="3" bestFit="1" customWidth="1"/>
    <col min="14336" max="14336" width="22" style="3" bestFit="1" customWidth="1"/>
    <col min="14337" max="14337" width="10.7109375" style="3" customWidth="1"/>
    <col min="14338" max="14338" width="12" style="3" customWidth="1"/>
    <col min="14339" max="14339" width="11.42578125" style="3" customWidth="1"/>
    <col min="14340" max="14340" width="11" style="3" customWidth="1"/>
    <col min="14341" max="14341" width="13" style="3" customWidth="1"/>
    <col min="14342" max="14588" width="9.140625" style="3"/>
    <col min="14589" max="14589" width="27.28515625" style="3" customWidth="1"/>
    <col min="14590" max="14590" width="38.7109375" style="3" customWidth="1"/>
    <col min="14591" max="14591" width="20" style="3" bestFit="1" customWidth="1"/>
    <col min="14592" max="14592" width="22" style="3" bestFit="1" customWidth="1"/>
    <col min="14593" max="14593" width="10.7109375" style="3" customWidth="1"/>
    <col min="14594" max="14594" width="12" style="3" customWidth="1"/>
    <col min="14595" max="14595" width="11.42578125" style="3" customWidth="1"/>
    <col min="14596" max="14596" width="11" style="3" customWidth="1"/>
    <col min="14597" max="14597" width="13" style="3" customWidth="1"/>
    <col min="14598" max="14844" width="9.140625" style="3"/>
    <col min="14845" max="14845" width="27.28515625" style="3" customWidth="1"/>
    <col min="14846" max="14846" width="38.7109375" style="3" customWidth="1"/>
    <col min="14847" max="14847" width="20" style="3" bestFit="1" customWidth="1"/>
    <col min="14848" max="14848" width="22" style="3" bestFit="1" customWidth="1"/>
    <col min="14849" max="14849" width="10.7109375" style="3" customWidth="1"/>
    <col min="14850" max="14850" width="12" style="3" customWidth="1"/>
    <col min="14851" max="14851" width="11.42578125" style="3" customWidth="1"/>
    <col min="14852" max="14852" width="11" style="3" customWidth="1"/>
    <col min="14853" max="14853" width="13" style="3" customWidth="1"/>
    <col min="14854" max="15100" width="9.140625" style="3"/>
    <col min="15101" max="15101" width="27.28515625" style="3" customWidth="1"/>
    <col min="15102" max="15102" width="38.7109375" style="3" customWidth="1"/>
    <col min="15103" max="15103" width="20" style="3" bestFit="1" customWidth="1"/>
    <col min="15104" max="15104" width="22" style="3" bestFit="1" customWidth="1"/>
    <col min="15105" max="15105" width="10.7109375" style="3" customWidth="1"/>
    <col min="15106" max="15106" width="12" style="3" customWidth="1"/>
    <col min="15107" max="15107" width="11.42578125" style="3" customWidth="1"/>
    <col min="15108" max="15108" width="11" style="3" customWidth="1"/>
    <col min="15109" max="15109" width="13" style="3" customWidth="1"/>
    <col min="15110" max="15356" width="9.140625" style="3"/>
    <col min="15357" max="15357" width="27.28515625" style="3" customWidth="1"/>
    <col min="15358" max="15358" width="38.7109375" style="3" customWidth="1"/>
    <col min="15359" max="15359" width="20" style="3" bestFit="1" customWidth="1"/>
    <col min="15360" max="15360" width="22" style="3" bestFit="1" customWidth="1"/>
    <col min="15361" max="15361" width="10.7109375" style="3" customWidth="1"/>
    <col min="15362" max="15362" width="12" style="3" customWidth="1"/>
    <col min="15363" max="15363" width="11.42578125" style="3" customWidth="1"/>
    <col min="15364" max="15364" width="11" style="3" customWidth="1"/>
    <col min="15365" max="15365" width="13" style="3" customWidth="1"/>
    <col min="15366" max="15612" width="9.140625" style="3"/>
    <col min="15613" max="15613" width="27.28515625" style="3" customWidth="1"/>
    <col min="15614" max="15614" width="38.7109375" style="3" customWidth="1"/>
    <col min="15615" max="15615" width="20" style="3" bestFit="1" customWidth="1"/>
    <col min="15616" max="15616" width="22" style="3" bestFit="1" customWidth="1"/>
    <col min="15617" max="15617" width="10.7109375" style="3" customWidth="1"/>
    <col min="15618" max="15618" width="12" style="3" customWidth="1"/>
    <col min="15619" max="15619" width="11.42578125" style="3" customWidth="1"/>
    <col min="15620" max="15620" width="11" style="3" customWidth="1"/>
    <col min="15621" max="15621" width="13" style="3" customWidth="1"/>
    <col min="15622" max="15868" width="9.140625" style="3"/>
    <col min="15869" max="15869" width="27.28515625" style="3" customWidth="1"/>
    <col min="15870" max="15870" width="38.7109375" style="3" customWidth="1"/>
    <col min="15871" max="15871" width="20" style="3" bestFit="1" customWidth="1"/>
    <col min="15872" max="15872" width="22" style="3" bestFit="1" customWidth="1"/>
    <col min="15873" max="15873" width="10.7109375" style="3" customWidth="1"/>
    <col min="15874" max="15874" width="12" style="3" customWidth="1"/>
    <col min="15875" max="15875" width="11.42578125" style="3" customWidth="1"/>
    <col min="15876" max="15876" width="11" style="3" customWidth="1"/>
    <col min="15877" max="15877" width="13" style="3" customWidth="1"/>
    <col min="15878" max="16124" width="9.140625" style="3"/>
    <col min="16125" max="16125" width="27.28515625" style="3" customWidth="1"/>
    <col min="16126" max="16126" width="38.7109375" style="3" customWidth="1"/>
    <col min="16127" max="16127" width="20" style="3" bestFit="1" customWidth="1"/>
    <col min="16128" max="16128" width="22" style="3" bestFit="1" customWidth="1"/>
    <col min="16129" max="16129" width="10.7109375" style="3" customWidth="1"/>
    <col min="16130" max="16130" width="12" style="3" customWidth="1"/>
    <col min="16131" max="16131" width="11.42578125" style="3" customWidth="1"/>
    <col min="16132" max="16132" width="11" style="3" customWidth="1"/>
    <col min="16133" max="16133" width="13" style="3" customWidth="1"/>
    <col min="16134" max="16384" width="9.140625" style="3"/>
  </cols>
  <sheetData>
    <row r="1" spans="1:16" s="1" customFormat="1" ht="12.75" customHeight="1" x14ac:dyDescent="0.2">
      <c r="A1" s="618" t="s">
        <v>202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508"/>
      <c r="P1" s="508"/>
    </row>
    <row r="2" spans="1:16" s="1" customFormat="1" ht="21" customHeight="1" x14ac:dyDescent="0.2">
      <c r="A2" s="620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508"/>
      <c r="P2" s="508"/>
    </row>
    <row r="3" spans="1:16" s="1" customFormat="1" ht="7.5" customHeight="1" x14ac:dyDescent="0.2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508"/>
      <c r="P3" s="508"/>
    </row>
    <row r="4" spans="1:16" s="2" customFormat="1" ht="87.75" customHeight="1" x14ac:dyDescent="0.25">
      <c r="A4" s="623" t="s">
        <v>11</v>
      </c>
      <c r="B4" s="626" t="s">
        <v>4</v>
      </c>
      <c r="C4" s="634" t="s">
        <v>100</v>
      </c>
      <c r="D4" s="626" t="s">
        <v>3</v>
      </c>
      <c r="E4" s="626" t="s">
        <v>5</v>
      </c>
      <c r="F4" s="630" t="s">
        <v>6</v>
      </c>
      <c r="G4" s="631"/>
      <c r="H4" s="631"/>
      <c r="I4" s="631"/>
      <c r="J4" s="631"/>
      <c r="K4" s="631"/>
      <c r="L4" s="631"/>
      <c r="M4" s="631"/>
      <c r="N4" s="632"/>
      <c r="O4" s="633"/>
      <c r="P4" s="509" t="s">
        <v>69</v>
      </c>
    </row>
    <row r="5" spans="1:16" s="2" customFormat="1" ht="18.75" x14ac:dyDescent="0.2">
      <c r="A5" s="624"/>
      <c r="B5" s="626"/>
      <c r="C5" s="612"/>
      <c r="D5" s="626"/>
      <c r="E5" s="626"/>
      <c r="F5" s="626" t="s">
        <v>7</v>
      </c>
      <c r="G5" s="626"/>
      <c r="H5" s="626" t="s">
        <v>8</v>
      </c>
      <c r="I5" s="626"/>
      <c r="J5" s="628" t="s">
        <v>9</v>
      </c>
      <c r="K5" s="629"/>
      <c r="L5" s="626" t="s">
        <v>10</v>
      </c>
      <c r="M5" s="628"/>
      <c r="N5" s="626" t="s">
        <v>78</v>
      </c>
      <c r="O5" s="626"/>
      <c r="P5" s="131"/>
    </row>
    <row r="6" spans="1:16" s="2" customFormat="1" ht="37.5" customHeight="1" thickBot="1" x14ac:dyDescent="0.25">
      <c r="A6" s="625"/>
      <c r="B6" s="627"/>
      <c r="C6" s="635"/>
      <c r="D6" s="627"/>
      <c r="E6" s="627"/>
      <c r="F6" s="93" t="s">
        <v>0</v>
      </c>
      <c r="G6" s="93" t="s">
        <v>1</v>
      </c>
      <c r="H6" s="93" t="s">
        <v>0</v>
      </c>
      <c r="I6" s="93" t="s">
        <v>1</v>
      </c>
      <c r="J6" s="93" t="s">
        <v>0</v>
      </c>
      <c r="K6" s="93" t="s">
        <v>1</v>
      </c>
      <c r="L6" s="115" t="s">
        <v>0</v>
      </c>
      <c r="M6" s="116" t="s">
        <v>1</v>
      </c>
      <c r="N6" s="114" t="s">
        <v>0</v>
      </c>
      <c r="O6" s="114" t="s">
        <v>1</v>
      </c>
      <c r="P6" s="132"/>
    </row>
    <row r="7" spans="1:16" s="1" customFormat="1" ht="30" customHeight="1" thickBot="1" x14ac:dyDescent="0.3">
      <c r="A7" s="638" t="s">
        <v>13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40"/>
      <c r="O7" s="641"/>
      <c r="P7" s="148"/>
    </row>
    <row r="8" spans="1:16" s="1" customFormat="1" ht="57.75" customHeight="1" thickBot="1" x14ac:dyDescent="0.25">
      <c r="A8" s="636"/>
      <c r="B8" s="372" t="s">
        <v>96</v>
      </c>
      <c r="C8" s="374"/>
      <c r="D8" s="226">
        <v>6530.9</v>
      </c>
      <c r="E8" s="226">
        <v>6530.9</v>
      </c>
      <c r="F8" s="226">
        <v>1558.1</v>
      </c>
      <c r="G8" s="226">
        <v>1558.1</v>
      </c>
      <c r="H8" s="226">
        <v>1657.6</v>
      </c>
      <c r="I8" s="226">
        <v>1531.5</v>
      </c>
      <c r="J8" s="226">
        <v>1657.6</v>
      </c>
      <c r="K8" s="226">
        <v>1597.5</v>
      </c>
      <c r="L8" s="226">
        <v>1657.6</v>
      </c>
      <c r="M8" s="226"/>
      <c r="N8" s="226">
        <f>SUM(F8+H8+J8+L8)</f>
        <v>6530.9</v>
      </c>
      <c r="O8" s="227">
        <f t="shared" ref="O8:O9" si="0">SUM(G8+I8+K8+M8)</f>
        <v>4687.1000000000004</v>
      </c>
      <c r="P8" s="242"/>
    </row>
    <row r="9" spans="1:16" s="1" customFormat="1" ht="42" customHeight="1" x14ac:dyDescent="0.25">
      <c r="A9" s="637"/>
      <c r="B9" s="373" t="s">
        <v>139</v>
      </c>
      <c r="C9" s="375"/>
      <c r="D9" s="376">
        <v>3476.3</v>
      </c>
      <c r="E9" s="376">
        <v>3476.3</v>
      </c>
      <c r="F9" s="226">
        <v>50.3</v>
      </c>
      <c r="G9" s="226">
        <v>50.3</v>
      </c>
      <c r="H9" s="226">
        <v>827.9</v>
      </c>
      <c r="I9" s="226">
        <v>1473.7</v>
      </c>
      <c r="J9" s="226">
        <v>827.9</v>
      </c>
      <c r="K9" s="226">
        <v>1345</v>
      </c>
      <c r="L9" s="226">
        <v>1770.2</v>
      </c>
      <c r="M9" s="226"/>
      <c r="N9" s="226">
        <f>SUM(F9+H9+J9+L9)</f>
        <v>3476.3</v>
      </c>
      <c r="O9" s="366">
        <f t="shared" si="0"/>
        <v>2869</v>
      </c>
      <c r="P9" s="228"/>
    </row>
    <row r="10" spans="1:16" s="1" customFormat="1" ht="38.25" customHeight="1" x14ac:dyDescent="0.2">
      <c r="A10" s="62" t="s">
        <v>2</v>
      </c>
      <c r="B10" s="63"/>
      <c r="C10" s="60"/>
      <c r="D10" s="370">
        <f t="shared" ref="D10:O10" si="1">SUM(D8:D9)</f>
        <v>10007.200000000001</v>
      </c>
      <c r="E10" s="370">
        <f t="shared" si="1"/>
        <v>10007.200000000001</v>
      </c>
      <c r="F10" s="370">
        <f t="shared" si="1"/>
        <v>1608.3999999999999</v>
      </c>
      <c r="G10" s="370">
        <f t="shared" si="1"/>
        <v>1608.3999999999999</v>
      </c>
      <c r="H10" s="370">
        <f t="shared" si="1"/>
        <v>2485.5</v>
      </c>
      <c r="I10" s="370">
        <f t="shared" si="1"/>
        <v>3005.2</v>
      </c>
      <c r="J10" s="370">
        <f t="shared" si="1"/>
        <v>2485.5</v>
      </c>
      <c r="K10" s="370">
        <f t="shared" si="1"/>
        <v>2942.5</v>
      </c>
      <c r="L10" s="370">
        <f t="shared" si="1"/>
        <v>3427.8</v>
      </c>
      <c r="M10" s="370">
        <f t="shared" si="1"/>
        <v>0</v>
      </c>
      <c r="N10" s="370">
        <f t="shared" si="1"/>
        <v>10007.200000000001</v>
      </c>
      <c r="O10" s="89">
        <f t="shared" si="1"/>
        <v>7556.1</v>
      </c>
      <c r="P10" s="134"/>
    </row>
    <row r="11" spans="1:16" s="1" customFormat="1" ht="31.5" customHeight="1" x14ac:dyDescent="0.2">
      <c r="A11" s="61"/>
      <c r="B11" s="41" t="s">
        <v>59</v>
      </c>
      <c r="C11" s="41"/>
      <c r="D11" s="64"/>
      <c r="E11" s="64"/>
      <c r="F11" s="64"/>
      <c r="G11" s="64"/>
      <c r="H11" s="64"/>
      <c r="I11" s="64"/>
      <c r="J11" s="64"/>
      <c r="K11" s="64"/>
      <c r="L11" s="64"/>
      <c r="M11" s="367"/>
      <c r="N11" s="170"/>
      <c r="O11" s="170"/>
      <c r="P11" s="134"/>
    </row>
    <row r="12" spans="1:16" s="1" customFormat="1" ht="30" customHeight="1" x14ac:dyDescent="0.2">
      <c r="A12" s="59"/>
      <c r="B12" s="41" t="s">
        <v>60</v>
      </c>
      <c r="C12" s="305"/>
      <c r="D12" s="89">
        <f t="shared" ref="D12:M12" si="2">SUM(D8:D9)</f>
        <v>10007.200000000001</v>
      </c>
      <c r="E12" s="89">
        <f t="shared" si="2"/>
        <v>10007.200000000001</v>
      </c>
      <c r="F12" s="89">
        <f t="shared" si="2"/>
        <v>1608.3999999999999</v>
      </c>
      <c r="G12" s="89">
        <f t="shared" si="2"/>
        <v>1608.3999999999999</v>
      </c>
      <c r="H12" s="89">
        <f t="shared" si="2"/>
        <v>2485.5</v>
      </c>
      <c r="I12" s="89">
        <f t="shared" si="2"/>
        <v>3005.2</v>
      </c>
      <c r="J12" s="89">
        <f t="shared" si="2"/>
        <v>2485.5</v>
      </c>
      <c r="K12" s="89">
        <f t="shared" si="2"/>
        <v>2942.5</v>
      </c>
      <c r="L12" s="89">
        <f t="shared" si="2"/>
        <v>3427.8</v>
      </c>
      <c r="M12" s="89">
        <f t="shared" si="2"/>
        <v>0</v>
      </c>
      <c r="N12" s="170">
        <f>SUM(F12+H12+J12+L12)</f>
        <v>10007.200000000001</v>
      </c>
      <c r="O12" s="170">
        <f>SUM(G12+I12+K12+M12)</f>
        <v>7556.0999999999995</v>
      </c>
      <c r="P12" s="134"/>
    </row>
    <row r="13" spans="1:16" s="1" customFormat="1" ht="129.75" hidden="1" customHeight="1" thickBot="1" x14ac:dyDescent="0.2">
      <c r="A13" s="59"/>
      <c r="B13" s="60"/>
      <c r="C13" s="60"/>
      <c r="D13" s="64"/>
      <c r="E13" s="64"/>
      <c r="F13" s="64"/>
      <c r="G13" s="64"/>
      <c r="H13" s="64"/>
      <c r="I13" s="64"/>
      <c r="J13" s="64"/>
      <c r="K13" s="64"/>
      <c r="L13" s="64"/>
      <c r="M13" s="367"/>
      <c r="N13" s="65"/>
      <c r="O13" s="65"/>
      <c r="P13" s="134"/>
    </row>
    <row r="14" spans="1:16" s="1" customFormat="1" ht="45.75" customHeight="1" thickBot="1" x14ac:dyDescent="0.25">
      <c r="A14" s="30"/>
      <c r="B14" s="42" t="s">
        <v>61</v>
      </c>
      <c r="C14" s="306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3"/>
      <c r="O14" s="65"/>
      <c r="P14" s="134"/>
    </row>
    <row r="15" spans="1:16" ht="29.25" customHeight="1" thickBot="1" x14ac:dyDescent="0.3">
      <c r="A15" s="668" t="s">
        <v>14</v>
      </c>
      <c r="B15" s="669"/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70"/>
      <c r="O15" s="671"/>
    </row>
    <row r="16" spans="1:16" ht="45.75" thickBot="1" x14ac:dyDescent="0.25">
      <c r="A16" s="498"/>
      <c r="B16" s="369" t="s">
        <v>44</v>
      </c>
      <c r="C16" s="371"/>
      <c r="D16" s="226">
        <v>1813.8</v>
      </c>
      <c r="E16" s="226">
        <v>1813.8</v>
      </c>
      <c r="F16" s="226">
        <v>185.4</v>
      </c>
      <c r="G16" s="226">
        <v>185.4</v>
      </c>
      <c r="H16" s="226">
        <v>542.79999999999995</v>
      </c>
      <c r="I16" s="226">
        <v>622.79999999999995</v>
      </c>
      <c r="J16" s="226">
        <v>542.79999999999995</v>
      </c>
      <c r="K16" s="226">
        <v>387.2</v>
      </c>
      <c r="L16" s="226">
        <v>542.79999999999995</v>
      </c>
      <c r="M16" s="226"/>
      <c r="N16" s="226">
        <f t="shared" ref="N16:O16" si="3">SUM(F16+H16+J16+L16)</f>
        <v>1813.8</v>
      </c>
      <c r="O16" s="250">
        <f t="shared" si="3"/>
        <v>1195.3999999999999</v>
      </c>
      <c r="P16" s="4"/>
    </row>
    <row r="17" spans="1:16" ht="18.75" x14ac:dyDescent="0.2">
      <c r="A17" s="28" t="s">
        <v>2</v>
      </c>
      <c r="B17" s="67"/>
      <c r="C17" s="307"/>
      <c r="D17" s="66">
        <f t="shared" ref="D17:O17" si="4">SUM(D16)</f>
        <v>1813.8</v>
      </c>
      <c r="E17" s="66">
        <f t="shared" si="4"/>
        <v>1813.8</v>
      </c>
      <c r="F17" s="66">
        <f t="shared" si="4"/>
        <v>185.4</v>
      </c>
      <c r="G17" s="66">
        <f t="shared" si="4"/>
        <v>185.4</v>
      </c>
      <c r="H17" s="66">
        <f t="shared" si="4"/>
        <v>542.79999999999995</v>
      </c>
      <c r="I17" s="66">
        <f t="shared" si="4"/>
        <v>622.79999999999995</v>
      </c>
      <c r="J17" s="66">
        <f t="shared" si="4"/>
        <v>542.79999999999995</v>
      </c>
      <c r="K17" s="66">
        <f t="shared" si="4"/>
        <v>387.2</v>
      </c>
      <c r="L17" s="66">
        <f t="shared" si="4"/>
        <v>542.79999999999995</v>
      </c>
      <c r="M17" s="66">
        <f t="shared" si="4"/>
        <v>0</v>
      </c>
      <c r="N17" s="370">
        <f t="shared" si="4"/>
        <v>1813.8</v>
      </c>
      <c r="O17" s="370">
        <f t="shared" si="4"/>
        <v>1195.3999999999999</v>
      </c>
      <c r="P17" s="4"/>
    </row>
    <row r="18" spans="1:16" ht="15.75" x14ac:dyDescent="0.2">
      <c r="A18" s="674"/>
      <c r="B18" s="67" t="s">
        <v>59</v>
      </c>
      <c r="C18" s="67"/>
      <c r="D18" s="68"/>
      <c r="E18" s="68"/>
      <c r="F18" s="68"/>
      <c r="G18" s="68"/>
      <c r="H18" s="68"/>
      <c r="I18" s="69"/>
      <c r="J18" s="68"/>
      <c r="K18" s="69"/>
      <c r="L18" s="68"/>
      <c r="M18" s="118"/>
      <c r="N18" s="70"/>
      <c r="O18" s="173"/>
      <c r="P18" s="4"/>
    </row>
    <row r="19" spans="1:16" ht="15.75" x14ac:dyDescent="0.2">
      <c r="A19" s="675"/>
      <c r="B19" s="67" t="s">
        <v>60</v>
      </c>
      <c r="C19" s="67"/>
      <c r="D19" s="89">
        <f t="shared" ref="D19:M19" si="5">SUM(D17+D18)</f>
        <v>1813.8</v>
      </c>
      <c r="E19" s="98">
        <f t="shared" si="5"/>
        <v>1813.8</v>
      </c>
      <c r="F19" s="98">
        <f t="shared" si="5"/>
        <v>185.4</v>
      </c>
      <c r="G19" s="98">
        <f t="shared" si="5"/>
        <v>185.4</v>
      </c>
      <c r="H19" s="98">
        <f t="shared" si="5"/>
        <v>542.79999999999995</v>
      </c>
      <c r="I19" s="89">
        <f t="shared" si="5"/>
        <v>622.79999999999995</v>
      </c>
      <c r="J19" s="89">
        <f t="shared" si="5"/>
        <v>542.79999999999995</v>
      </c>
      <c r="K19" s="89">
        <f t="shared" si="5"/>
        <v>387.2</v>
      </c>
      <c r="L19" s="89">
        <f t="shared" si="5"/>
        <v>542.79999999999995</v>
      </c>
      <c r="M19" s="119">
        <f t="shared" si="5"/>
        <v>0</v>
      </c>
      <c r="N19" s="89">
        <f>SUM(N16)</f>
        <v>1813.8</v>
      </c>
      <c r="O19" s="370">
        <f>SUM(O16)</f>
        <v>1195.3999999999999</v>
      </c>
      <c r="P19" s="4"/>
    </row>
    <row r="20" spans="1:16" s="1" customFormat="1" ht="36.75" customHeight="1" thickBot="1" x14ac:dyDescent="0.25">
      <c r="A20" s="676"/>
      <c r="B20" s="42" t="s">
        <v>61</v>
      </c>
      <c r="C20" s="305"/>
      <c r="D20" s="66"/>
      <c r="E20" s="66"/>
      <c r="F20" s="66"/>
      <c r="G20" s="66"/>
      <c r="H20" s="66"/>
      <c r="I20" s="66"/>
      <c r="J20" s="66"/>
      <c r="K20" s="66"/>
      <c r="L20" s="66"/>
      <c r="M20" s="117"/>
      <c r="N20" s="52"/>
      <c r="O20" s="65"/>
      <c r="P20" s="134"/>
    </row>
    <row r="21" spans="1:16" ht="27.75" customHeight="1" x14ac:dyDescent="0.25">
      <c r="A21" s="661" t="s">
        <v>15</v>
      </c>
      <c r="B21" s="662"/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3"/>
      <c r="O21" s="664"/>
    </row>
    <row r="22" spans="1:16" ht="35.25" customHeight="1" x14ac:dyDescent="0.2">
      <c r="A22" s="677" t="s">
        <v>16</v>
      </c>
      <c r="B22" s="420" t="s">
        <v>79</v>
      </c>
      <c r="C22" s="686"/>
      <c r="D22" s="554">
        <v>300</v>
      </c>
      <c r="E22" s="554">
        <f t="shared" ref="E22:E27" si="6">F22+H22+J22+L22</f>
        <v>300</v>
      </c>
      <c r="F22" s="554"/>
      <c r="G22" s="554"/>
      <c r="H22" s="554">
        <v>150</v>
      </c>
      <c r="I22" s="554">
        <v>150</v>
      </c>
      <c r="J22" s="554"/>
      <c r="K22" s="555"/>
      <c r="L22" s="555">
        <v>150</v>
      </c>
      <c r="M22" s="554"/>
      <c r="N22" s="185">
        <f>SUM(F22+H22+J22+L22)</f>
        <v>300</v>
      </c>
      <c r="O22" s="185">
        <f>SUM(G22+I22+K22+M22)</f>
        <v>150</v>
      </c>
    </row>
    <row r="23" spans="1:16" ht="112.5" customHeight="1" x14ac:dyDescent="0.2">
      <c r="A23" s="678"/>
      <c r="B23" s="420" t="s">
        <v>80</v>
      </c>
      <c r="C23" s="687"/>
      <c r="D23" s="554">
        <v>300</v>
      </c>
      <c r="E23" s="554">
        <f t="shared" si="6"/>
        <v>300</v>
      </c>
      <c r="F23" s="554"/>
      <c r="G23" s="554"/>
      <c r="H23" s="554"/>
      <c r="I23" s="554"/>
      <c r="J23" s="554">
        <v>20</v>
      </c>
      <c r="K23" s="555">
        <v>16.399999999999999</v>
      </c>
      <c r="L23" s="555">
        <f>300-20</f>
        <v>280</v>
      </c>
      <c r="M23" s="554"/>
      <c r="N23" s="185">
        <f>SUM(F23+H23+J23+L23)</f>
        <v>300</v>
      </c>
      <c r="O23" s="185">
        <f>SUM(G23+I23+K23+M23)</f>
        <v>16.399999999999999</v>
      </c>
    </row>
    <row r="24" spans="1:16" ht="51.75" customHeight="1" x14ac:dyDescent="0.2">
      <c r="A24" s="678"/>
      <c r="B24" s="420" t="s">
        <v>81</v>
      </c>
      <c r="C24" s="687"/>
      <c r="D24" s="554">
        <v>340</v>
      </c>
      <c r="E24" s="554">
        <f t="shared" si="6"/>
        <v>340</v>
      </c>
      <c r="F24" s="554">
        <v>32.700000000000003</v>
      </c>
      <c r="G24" s="554">
        <v>32.700000000000003</v>
      </c>
      <c r="H24" s="554">
        <v>82.2</v>
      </c>
      <c r="I24" s="554">
        <v>82.2</v>
      </c>
      <c r="J24" s="554">
        <v>35.799999999999997</v>
      </c>
      <c r="K24" s="555">
        <v>35.799999999999997</v>
      </c>
      <c r="L24" s="554">
        <f>320-12.7-82.2-35.8</f>
        <v>189.3</v>
      </c>
      <c r="M24" s="554"/>
      <c r="N24" s="185">
        <f t="shared" ref="N24:O27" si="7">SUM(F24+H24+J24+L24)</f>
        <v>340</v>
      </c>
      <c r="O24" s="185">
        <f t="shared" si="7"/>
        <v>150.69999999999999</v>
      </c>
    </row>
    <row r="25" spans="1:16" ht="50.25" customHeight="1" x14ac:dyDescent="0.2">
      <c r="A25" s="678"/>
      <c r="B25" s="420" t="s">
        <v>82</v>
      </c>
      <c r="C25" s="687"/>
      <c r="D25" s="554">
        <v>800</v>
      </c>
      <c r="E25" s="554">
        <f t="shared" si="6"/>
        <v>800</v>
      </c>
      <c r="F25" s="554"/>
      <c r="G25" s="554"/>
      <c r="H25" s="554">
        <f>200-200</f>
        <v>0</v>
      </c>
      <c r="I25" s="554"/>
      <c r="J25" s="554">
        <v>21.9</v>
      </c>
      <c r="K25" s="555">
        <v>21.9</v>
      </c>
      <c r="L25" s="555">
        <f>500+300-21.9</f>
        <v>778.1</v>
      </c>
      <c r="M25" s="556"/>
      <c r="N25" s="185">
        <f t="shared" si="7"/>
        <v>800</v>
      </c>
      <c r="O25" s="185">
        <f t="shared" si="7"/>
        <v>21.9</v>
      </c>
    </row>
    <row r="26" spans="1:16" ht="57" customHeight="1" x14ac:dyDescent="0.2">
      <c r="A26" s="678"/>
      <c r="B26" s="420" t="s">
        <v>83</v>
      </c>
      <c r="C26" s="687"/>
      <c r="D26" s="554">
        <v>144</v>
      </c>
      <c r="E26" s="554">
        <f t="shared" si="6"/>
        <v>144</v>
      </c>
      <c r="F26" s="554">
        <v>15</v>
      </c>
      <c r="G26" s="554"/>
      <c r="H26" s="554">
        <v>11.8</v>
      </c>
      <c r="I26" s="554">
        <v>26.8</v>
      </c>
      <c r="J26" s="554">
        <v>26.9</v>
      </c>
      <c r="K26" s="555">
        <v>26.9</v>
      </c>
      <c r="L26" s="555">
        <f>129-11.8-26.9</f>
        <v>90.300000000000011</v>
      </c>
      <c r="M26" s="554"/>
      <c r="N26" s="185">
        <f t="shared" si="7"/>
        <v>144</v>
      </c>
      <c r="O26" s="185">
        <f t="shared" si="7"/>
        <v>53.7</v>
      </c>
    </row>
    <row r="27" spans="1:16" ht="136.5" customHeight="1" thickBot="1" x14ac:dyDescent="0.25">
      <c r="A27" s="678"/>
      <c r="B27" s="420" t="s">
        <v>84</v>
      </c>
      <c r="C27" s="688"/>
      <c r="D27" s="554">
        <f>1818.2-57+56.4</f>
        <v>1817.6000000000001</v>
      </c>
      <c r="E27" s="554">
        <f t="shared" si="6"/>
        <v>1817.6000000000001</v>
      </c>
      <c r="F27" s="554">
        <v>287.3</v>
      </c>
      <c r="G27" s="554">
        <v>42.2</v>
      </c>
      <c r="H27" s="554">
        <v>221</v>
      </c>
      <c r="I27" s="554">
        <v>205.9</v>
      </c>
      <c r="J27" s="554">
        <f>400-35.8-21.9-26.9</f>
        <v>315.40000000000003</v>
      </c>
      <c r="K27" s="555">
        <v>548</v>
      </c>
      <c r="L27" s="555">
        <f>1818.2-344.3-221+56.4-400+35.8+21.9+26.9</f>
        <v>993.90000000000009</v>
      </c>
      <c r="M27" s="556"/>
      <c r="N27" s="185">
        <f t="shared" si="7"/>
        <v>1817.6000000000001</v>
      </c>
      <c r="O27" s="185">
        <f t="shared" si="7"/>
        <v>796.1</v>
      </c>
    </row>
    <row r="28" spans="1:16" ht="48" customHeight="1" x14ac:dyDescent="0.2">
      <c r="A28" s="6" t="s">
        <v>12</v>
      </c>
      <c r="B28" s="34"/>
      <c r="C28" s="34"/>
      <c r="D28" s="103">
        <f t="shared" ref="D28:N28" si="8">SUM(D27+D26+D25+D24+D23+D22)</f>
        <v>3701.6000000000004</v>
      </c>
      <c r="E28" s="103">
        <f t="shared" si="8"/>
        <v>3701.6000000000004</v>
      </c>
      <c r="F28" s="103">
        <f t="shared" si="8"/>
        <v>335</v>
      </c>
      <c r="G28" s="103">
        <f t="shared" si="8"/>
        <v>74.900000000000006</v>
      </c>
      <c r="H28" s="103">
        <f t="shared" si="8"/>
        <v>465</v>
      </c>
      <c r="I28" s="103">
        <f t="shared" si="8"/>
        <v>464.90000000000003</v>
      </c>
      <c r="J28" s="103">
        <f t="shared" si="8"/>
        <v>420</v>
      </c>
      <c r="K28" s="103">
        <f t="shared" si="8"/>
        <v>648.99999999999989</v>
      </c>
      <c r="L28" s="103">
        <f t="shared" si="8"/>
        <v>2481.6000000000004</v>
      </c>
      <c r="M28" s="103">
        <f t="shared" si="8"/>
        <v>0</v>
      </c>
      <c r="N28" s="103">
        <f t="shared" si="8"/>
        <v>3701.6000000000004</v>
      </c>
      <c r="O28" s="103">
        <f>SUM(O27+O26+O25+O24+O23+O22)</f>
        <v>1188.8000000000002</v>
      </c>
    </row>
    <row r="29" spans="1:16" ht="26.25" customHeight="1" thickBot="1" x14ac:dyDescent="0.25">
      <c r="A29" s="95"/>
      <c r="B29" s="22" t="s">
        <v>59</v>
      </c>
      <c r="C29" s="22"/>
      <c r="D29" s="104"/>
      <c r="E29" s="104"/>
      <c r="F29" s="104"/>
      <c r="G29" s="104"/>
      <c r="H29" s="104"/>
      <c r="I29" s="104"/>
      <c r="J29" s="104"/>
      <c r="K29" s="104"/>
      <c r="L29" s="105"/>
      <c r="M29" s="120"/>
      <c r="N29" s="51"/>
      <c r="O29" s="12"/>
    </row>
    <row r="30" spans="1:16" ht="30" customHeight="1" x14ac:dyDescent="0.2">
      <c r="A30" s="95"/>
      <c r="B30" s="22" t="s">
        <v>60</v>
      </c>
      <c r="C30" s="308"/>
      <c r="D30" s="103">
        <f t="shared" ref="D30:M30" si="9">SUM(D27+D26+D25+D24+D22)</f>
        <v>3401.6000000000004</v>
      </c>
      <c r="E30" s="103">
        <f t="shared" si="9"/>
        <v>3401.6000000000004</v>
      </c>
      <c r="F30" s="103">
        <f t="shared" si="9"/>
        <v>335</v>
      </c>
      <c r="G30" s="103">
        <f t="shared" si="9"/>
        <v>74.900000000000006</v>
      </c>
      <c r="H30" s="103">
        <f t="shared" si="9"/>
        <v>465</v>
      </c>
      <c r="I30" s="103">
        <f t="shared" si="9"/>
        <v>464.90000000000003</v>
      </c>
      <c r="J30" s="103">
        <f t="shared" si="9"/>
        <v>400</v>
      </c>
      <c r="K30" s="103">
        <f>SUM(K27+K26+K25+K24+K22+K23)</f>
        <v>648.99999999999989</v>
      </c>
      <c r="L30" s="103">
        <f>SUM(L27+L26+L25+L24+L22+L23)</f>
        <v>2481.6000000000004</v>
      </c>
      <c r="M30" s="103">
        <f t="shared" si="9"/>
        <v>0</v>
      </c>
      <c r="N30" s="159">
        <f>SUM(F30+H30+J30+L30)</f>
        <v>3681.6000000000004</v>
      </c>
      <c r="O30" s="160">
        <f>SUM(G30+I30+K30+M30)</f>
        <v>1188.8</v>
      </c>
    </row>
    <row r="31" spans="1:16" ht="34.5" customHeight="1" thickBot="1" x14ac:dyDescent="0.25">
      <c r="A31" s="96"/>
      <c r="B31" s="80" t="s">
        <v>61</v>
      </c>
      <c r="C31" s="35"/>
      <c r="D31" s="106"/>
      <c r="E31" s="106"/>
      <c r="F31" s="106"/>
      <c r="G31" s="106"/>
      <c r="H31" s="106"/>
      <c r="I31" s="106"/>
      <c r="J31" s="106"/>
      <c r="K31" s="106"/>
      <c r="L31" s="107"/>
      <c r="M31" s="121"/>
      <c r="N31" s="51"/>
      <c r="O31" s="12"/>
    </row>
    <row r="32" spans="1:16" ht="48" customHeight="1" x14ac:dyDescent="0.2">
      <c r="A32" s="679" t="s">
        <v>17</v>
      </c>
      <c r="B32" s="559" t="s">
        <v>181</v>
      </c>
      <c r="C32" s="511"/>
      <c r="D32" s="557">
        <f>68413.7+57+204</f>
        <v>68674.7</v>
      </c>
      <c r="E32" s="557">
        <f t="shared" ref="E32" si="10">F32+H32+J32+L32</f>
        <v>68674.7</v>
      </c>
      <c r="F32" s="557">
        <v>14189.5</v>
      </c>
      <c r="G32" s="557">
        <v>14189.5</v>
      </c>
      <c r="H32" s="557">
        <f>16946.7+201</f>
        <v>17147.7</v>
      </c>
      <c r="I32" s="557">
        <f>16946.7+201</f>
        <v>17147.7</v>
      </c>
      <c r="J32" s="557">
        <f>16700.7+757.1</f>
        <v>17457.8</v>
      </c>
      <c r="K32" s="558">
        <v>17457.8</v>
      </c>
      <c r="L32" s="558">
        <f>20576.8+57-201+204-757.1</f>
        <v>19879.7</v>
      </c>
      <c r="M32" s="510"/>
      <c r="N32" s="513">
        <f t="shared" ref="N32:N41" si="11">SUM(F32+H32+J32+L32)</f>
        <v>68674.7</v>
      </c>
      <c r="O32" s="513">
        <f t="shared" ref="O32:O41" si="12">SUM(G32+I32+K32+M32)</f>
        <v>48795</v>
      </c>
    </row>
    <row r="33" spans="1:15" ht="39.75" customHeight="1" x14ac:dyDescent="0.2">
      <c r="A33" s="604"/>
      <c r="B33" s="559" t="s">
        <v>182</v>
      </c>
      <c r="C33" s="511"/>
      <c r="D33" s="557">
        <v>6500</v>
      </c>
      <c r="E33" s="557">
        <f t="shared" ref="E33:E41" si="13">F33+H33+J33+L33</f>
        <v>6500</v>
      </c>
      <c r="F33" s="557">
        <v>1476.6</v>
      </c>
      <c r="G33" s="557">
        <v>1476.6</v>
      </c>
      <c r="H33" s="557">
        <v>1600.5</v>
      </c>
      <c r="I33" s="557">
        <v>1600.5</v>
      </c>
      <c r="J33" s="557">
        <v>1550.5</v>
      </c>
      <c r="K33" s="558">
        <v>1550.5</v>
      </c>
      <c r="L33" s="558">
        <v>1872.4</v>
      </c>
      <c r="M33" s="510"/>
      <c r="N33" s="513">
        <f t="shared" si="11"/>
        <v>6500</v>
      </c>
      <c r="O33" s="513">
        <f t="shared" si="12"/>
        <v>4627.6000000000004</v>
      </c>
    </row>
    <row r="34" spans="1:15" ht="60.75" customHeight="1" x14ac:dyDescent="0.2">
      <c r="A34" s="604"/>
      <c r="B34" s="559" t="s">
        <v>183</v>
      </c>
      <c r="C34" s="340" t="s">
        <v>131</v>
      </c>
      <c r="D34" s="557">
        <v>946.2</v>
      </c>
      <c r="E34" s="557">
        <f t="shared" si="13"/>
        <v>946.2</v>
      </c>
      <c r="F34" s="557"/>
      <c r="G34" s="557"/>
      <c r="H34" s="557">
        <v>487.6</v>
      </c>
      <c r="I34" s="557">
        <v>487.6</v>
      </c>
      <c r="J34" s="557">
        <f>234.8+196</f>
        <v>430.8</v>
      </c>
      <c r="K34" s="558">
        <f>234.8+196</f>
        <v>430.8</v>
      </c>
      <c r="L34" s="558">
        <f>946.2-487.6-234.8-196</f>
        <v>27.800000000000011</v>
      </c>
      <c r="M34" s="510"/>
      <c r="N34" s="514">
        <f t="shared" si="11"/>
        <v>946.2</v>
      </c>
      <c r="O34" s="514">
        <f t="shared" si="12"/>
        <v>918.40000000000009</v>
      </c>
    </row>
    <row r="35" spans="1:15" ht="71.25" customHeight="1" x14ac:dyDescent="0.2">
      <c r="A35" s="604"/>
      <c r="B35" s="559" t="s">
        <v>184</v>
      </c>
      <c r="C35" s="340" t="s">
        <v>131</v>
      </c>
      <c r="D35" s="557">
        <v>2996.2</v>
      </c>
      <c r="E35" s="557">
        <f t="shared" si="13"/>
        <v>2996.2</v>
      </c>
      <c r="F35" s="557"/>
      <c r="G35" s="557"/>
      <c r="H35" s="557">
        <v>1543.9</v>
      </c>
      <c r="I35" s="557">
        <v>1543.9</v>
      </c>
      <c r="J35" s="557">
        <f>743.6+620</f>
        <v>1363.6</v>
      </c>
      <c r="K35" s="558">
        <v>547.6</v>
      </c>
      <c r="L35" s="558">
        <f>2996.2-1543.9-743.6-620</f>
        <v>88.699999999999704</v>
      </c>
      <c r="M35" s="512"/>
      <c r="N35" s="514">
        <f t="shared" si="11"/>
        <v>2996.2</v>
      </c>
      <c r="O35" s="514">
        <f t="shared" si="12"/>
        <v>2091.5</v>
      </c>
    </row>
    <row r="36" spans="1:15" s="497" customFormat="1" ht="165.75" customHeight="1" x14ac:dyDescent="0.2">
      <c r="A36" s="604"/>
      <c r="B36" s="560" t="s">
        <v>188</v>
      </c>
      <c r="C36" s="340" t="s">
        <v>131</v>
      </c>
      <c r="D36" s="516">
        <v>2854.7</v>
      </c>
      <c r="E36" s="516">
        <f t="shared" si="13"/>
        <v>2854.7</v>
      </c>
      <c r="F36" s="516"/>
      <c r="G36" s="516"/>
      <c r="H36" s="516"/>
      <c r="I36" s="516"/>
      <c r="J36" s="516"/>
      <c r="K36" s="517"/>
      <c r="L36" s="517">
        <v>2854.7</v>
      </c>
      <c r="M36" s="512"/>
      <c r="N36" s="514">
        <f t="shared" si="11"/>
        <v>2854.7</v>
      </c>
      <c r="O36" s="514"/>
    </row>
    <row r="37" spans="1:15" s="497" customFormat="1" ht="56.25" customHeight="1" x14ac:dyDescent="0.2">
      <c r="A37" s="604"/>
      <c r="B37" s="560" t="s">
        <v>203</v>
      </c>
      <c r="C37" s="340"/>
      <c r="D37" s="557">
        <v>11743.4</v>
      </c>
      <c r="E37" s="557">
        <f t="shared" si="13"/>
        <v>11743.4</v>
      </c>
      <c r="F37" s="557"/>
      <c r="G37" s="557"/>
      <c r="H37" s="557"/>
      <c r="I37" s="557"/>
      <c r="J37" s="557"/>
      <c r="K37" s="558"/>
      <c r="L37" s="558">
        <v>11743.4</v>
      </c>
      <c r="M37" s="512"/>
      <c r="N37" s="514">
        <f t="shared" si="11"/>
        <v>11743.4</v>
      </c>
      <c r="O37" s="514"/>
    </row>
    <row r="38" spans="1:15" ht="34.5" customHeight="1" x14ac:dyDescent="0.2">
      <c r="A38" s="604"/>
      <c r="B38" s="559" t="s">
        <v>185</v>
      </c>
      <c r="C38" s="511"/>
      <c r="D38" s="557">
        <f>20245.8-260.4</f>
        <v>19985.399999999998</v>
      </c>
      <c r="E38" s="557">
        <f t="shared" si="13"/>
        <v>19985.400000000001</v>
      </c>
      <c r="F38" s="557">
        <v>4243.3999999999996</v>
      </c>
      <c r="G38" s="557">
        <v>3480.7</v>
      </c>
      <c r="H38" s="557">
        <v>4739.8</v>
      </c>
      <c r="I38" s="557">
        <v>4998.8</v>
      </c>
      <c r="J38" s="557">
        <f>5000.2-150</f>
        <v>4850.2</v>
      </c>
      <c r="K38" s="558">
        <v>4804.2</v>
      </c>
      <c r="L38" s="558">
        <f>6209-260.4+53.4+150</f>
        <v>6152</v>
      </c>
      <c r="M38" s="512"/>
      <c r="N38" s="514">
        <f t="shared" si="11"/>
        <v>19985.400000000001</v>
      </c>
      <c r="O38" s="514">
        <f t="shared" si="12"/>
        <v>13283.7</v>
      </c>
    </row>
    <row r="39" spans="1:15" ht="27" customHeight="1" x14ac:dyDescent="0.2">
      <c r="A39" s="604"/>
      <c r="B39" s="561" t="s">
        <v>130</v>
      </c>
      <c r="C39" s="515"/>
      <c r="D39" s="557">
        <f>D40+D41</f>
        <v>12200.2</v>
      </c>
      <c r="E39" s="557">
        <f t="shared" si="13"/>
        <v>12200.199999999999</v>
      </c>
      <c r="F39" s="557">
        <f t="shared" ref="F39:L39" si="14">F40+F41</f>
        <v>2877.7</v>
      </c>
      <c r="G39" s="557">
        <f t="shared" si="14"/>
        <v>2634.2</v>
      </c>
      <c r="H39" s="557">
        <f t="shared" si="14"/>
        <v>2908.7</v>
      </c>
      <c r="I39" s="557">
        <f t="shared" si="14"/>
        <v>3040.3999999999996</v>
      </c>
      <c r="J39" s="557">
        <f t="shared" si="14"/>
        <v>3232.2</v>
      </c>
      <c r="K39" s="557">
        <f t="shared" si="14"/>
        <v>2606.6999999999998</v>
      </c>
      <c r="L39" s="557">
        <f t="shared" si="14"/>
        <v>3181.6</v>
      </c>
      <c r="M39" s="512"/>
      <c r="N39" s="514">
        <f t="shared" si="11"/>
        <v>12200.199999999999</v>
      </c>
      <c r="O39" s="514">
        <f t="shared" si="12"/>
        <v>8281.2999999999993</v>
      </c>
    </row>
    <row r="40" spans="1:15" ht="27" customHeight="1" x14ac:dyDescent="0.2">
      <c r="A40" s="604"/>
      <c r="B40" s="559" t="s">
        <v>186</v>
      </c>
      <c r="C40" s="515"/>
      <c r="D40" s="557">
        <v>4485.1000000000004</v>
      </c>
      <c r="E40" s="557">
        <f t="shared" si="13"/>
        <v>4485.1000000000004</v>
      </c>
      <c r="F40" s="557">
        <v>948.9</v>
      </c>
      <c r="G40" s="557">
        <v>782.5</v>
      </c>
      <c r="H40" s="557">
        <v>1098.7</v>
      </c>
      <c r="I40" s="557">
        <v>1131.5999999999999</v>
      </c>
      <c r="J40" s="557">
        <f>1117.9+70</f>
        <v>1187.9000000000001</v>
      </c>
      <c r="K40" s="558">
        <v>1052.5999999999999</v>
      </c>
      <c r="L40" s="558">
        <f>1319.6-70</f>
        <v>1249.5999999999999</v>
      </c>
      <c r="M40" s="512"/>
      <c r="N40" s="514">
        <f t="shared" si="11"/>
        <v>4485.1000000000004</v>
      </c>
      <c r="O40" s="514">
        <f t="shared" si="12"/>
        <v>2966.7</v>
      </c>
    </row>
    <row r="41" spans="1:15" ht="36" customHeight="1" thickBot="1" x14ac:dyDescent="0.25">
      <c r="A41" s="604"/>
      <c r="B41" s="559" t="s">
        <v>187</v>
      </c>
      <c r="C41" s="511"/>
      <c r="D41" s="557">
        <v>7715.1</v>
      </c>
      <c r="E41" s="557">
        <f t="shared" si="13"/>
        <v>7715.1</v>
      </c>
      <c r="F41" s="557">
        <f>1848.8+80</f>
        <v>1928.8</v>
      </c>
      <c r="G41" s="557">
        <v>1851.7</v>
      </c>
      <c r="H41" s="557">
        <f>1890-80</f>
        <v>1810</v>
      </c>
      <c r="I41" s="557">
        <v>1908.8</v>
      </c>
      <c r="J41" s="557">
        <f>2034.3+10</f>
        <v>2044.3</v>
      </c>
      <c r="K41" s="558">
        <v>1554.1</v>
      </c>
      <c r="L41" s="558">
        <f>1942-10</f>
        <v>1932</v>
      </c>
      <c r="M41" s="512"/>
      <c r="N41" s="514">
        <f t="shared" si="11"/>
        <v>7715.1</v>
      </c>
      <c r="O41" s="514">
        <f t="shared" si="12"/>
        <v>5314.6</v>
      </c>
    </row>
    <row r="42" spans="1:15" ht="45" customHeight="1" x14ac:dyDescent="0.2">
      <c r="A42" s="5" t="s">
        <v>12</v>
      </c>
      <c r="B42" s="100" t="s">
        <v>74</v>
      </c>
      <c r="C42" s="100"/>
      <c r="D42" s="101">
        <f t="shared" ref="D42:O42" si="15">D32+D33+D34+D38+D39+D35+D36+D37</f>
        <v>125900.79999999997</v>
      </c>
      <c r="E42" s="101">
        <f t="shared" si="15"/>
        <v>125900.79999999997</v>
      </c>
      <c r="F42" s="101">
        <f t="shared" si="15"/>
        <v>22787.200000000001</v>
      </c>
      <c r="G42" s="101">
        <f t="shared" si="15"/>
        <v>21781</v>
      </c>
      <c r="H42" s="101">
        <f t="shared" si="15"/>
        <v>28428.2</v>
      </c>
      <c r="I42" s="101">
        <f t="shared" si="15"/>
        <v>28818.9</v>
      </c>
      <c r="J42" s="101">
        <f t="shared" si="15"/>
        <v>28885.1</v>
      </c>
      <c r="K42" s="101">
        <f t="shared" si="15"/>
        <v>27397.599999999999</v>
      </c>
      <c r="L42" s="101">
        <f t="shared" si="15"/>
        <v>45800.3</v>
      </c>
      <c r="M42" s="101">
        <f t="shared" si="15"/>
        <v>0</v>
      </c>
      <c r="N42" s="101">
        <f t="shared" si="15"/>
        <v>125900.79999999997</v>
      </c>
      <c r="O42" s="101">
        <f t="shared" si="15"/>
        <v>77997.5</v>
      </c>
    </row>
    <row r="43" spans="1:15" ht="22.5" customHeight="1" x14ac:dyDescent="0.2">
      <c r="A43" s="37"/>
      <c r="B43" s="100" t="s">
        <v>75</v>
      </c>
      <c r="C43" s="100"/>
      <c r="D43" s="101">
        <f t="shared" ref="D43:O43" si="16">SUM(D32+D33+D38+D39)</f>
        <v>107360.29999999999</v>
      </c>
      <c r="E43" s="101">
        <f t="shared" si="16"/>
        <v>107360.3</v>
      </c>
      <c r="F43" s="101">
        <f t="shared" si="16"/>
        <v>22787.200000000001</v>
      </c>
      <c r="G43" s="101">
        <f t="shared" si="16"/>
        <v>21781</v>
      </c>
      <c r="H43" s="101">
        <f t="shared" si="16"/>
        <v>26396.7</v>
      </c>
      <c r="I43" s="101">
        <f t="shared" si="16"/>
        <v>26787.4</v>
      </c>
      <c r="J43" s="101">
        <f t="shared" si="16"/>
        <v>27090.7</v>
      </c>
      <c r="K43" s="101">
        <f t="shared" si="16"/>
        <v>26419.200000000001</v>
      </c>
      <c r="L43" s="101">
        <f t="shared" si="16"/>
        <v>31085.7</v>
      </c>
      <c r="M43" s="101">
        <f t="shared" si="16"/>
        <v>0</v>
      </c>
      <c r="N43" s="101">
        <f t="shared" si="16"/>
        <v>107360.3</v>
      </c>
      <c r="O43" s="101">
        <f t="shared" si="16"/>
        <v>74987.600000000006</v>
      </c>
    </row>
    <row r="44" spans="1:15" ht="45.75" customHeight="1" x14ac:dyDescent="0.2">
      <c r="A44" s="37"/>
      <c r="B44" s="80" t="s">
        <v>61</v>
      </c>
      <c r="C44" s="80"/>
      <c r="D44" s="101">
        <f t="shared" ref="D44:L44" si="17">SUM(D34+D35+D36+D37)</f>
        <v>18540.5</v>
      </c>
      <c r="E44" s="101">
        <f t="shared" si="17"/>
        <v>18540.5</v>
      </c>
      <c r="F44" s="101">
        <f t="shared" si="17"/>
        <v>0</v>
      </c>
      <c r="G44" s="101">
        <f t="shared" si="17"/>
        <v>0</v>
      </c>
      <c r="H44" s="101">
        <f t="shared" si="17"/>
        <v>2031.5</v>
      </c>
      <c r="I44" s="101">
        <f t="shared" si="17"/>
        <v>2031.5</v>
      </c>
      <c r="J44" s="101">
        <f t="shared" si="17"/>
        <v>1794.3999999999999</v>
      </c>
      <c r="K44" s="101">
        <f t="shared" si="17"/>
        <v>978.40000000000009</v>
      </c>
      <c r="L44" s="101">
        <f t="shared" si="17"/>
        <v>14714.599999999999</v>
      </c>
      <c r="M44" s="101">
        <f t="shared" ref="M44" si="18">SUM(M34+M35)</f>
        <v>0</v>
      </c>
      <c r="N44" s="101">
        <f>SUM(N34+N35+N36+N37)</f>
        <v>18540.5</v>
      </c>
      <c r="O44" s="101">
        <f>SUM(O34+O35+O36+O37)</f>
        <v>3009.9</v>
      </c>
    </row>
    <row r="45" spans="1:15" s="1" customFormat="1" ht="72.75" customHeight="1" x14ac:dyDescent="0.2">
      <c r="A45" s="361" t="s">
        <v>43</v>
      </c>
      <c r="B45" s="178"/>
      <c r="C45" s="178"/>
      <c r="D45" s="240">
        <v>1463.1</v>
      </c>
      <c r="E45" s="240">
        <v>1463.1</v>
      </c>
      <c r="F45" s="240">
        <v>349.6</v>
      </c>
      <c r="G45" s="240">
        <v>349.6</v>
      </c>
      <c r="H45" s="240">
        <v>371.2</v>
      </c>
      <c r="I45" s="240">
        <v>350.5</v>
      </c>
      <c r="J45" s="240">
        <v>371.2</v>
      </c>
      <c r="K45" s="241">
        <v>415.2</v>
      </c>
      <c r="L45" s="240">
        <v>371.1</v>
      </c>
      <c r="M45" s="224"/>
      <c r="N45" s="185">
        <f>SUM(F45+H45+J45+L45)</f>
        <v>1463.1</v>
      </c>
      <c r="O45" s="225">
        <f>SUM(G45+I45+K45+M45)</f>
        <v>1115.3</v>
      </c>
    </row>
    <row r="46" spans="1:15" s="1" customFormat="1" ht="32.25" customHeight="1" x14ac:dyDescent="0.2">
      <c r="A46" s="25" t="s">
        <v>12</v>
      </c>
      <c r="B46" s="36"/>
      <c r="C46" s="36"/>
      <c r="D46" s="101">
        <f t="shared" ref="D46:M46" si="19">SUM(D45)</f>
        <v>1463.1</v>
      </c>
      <c r="E46" s="101">
        <f t="shared" si="19"/>
        <v>1463.1</v>
      </c>
      <c r="F46" s="101">
        <f t="shared" si="19"/>
        <v>349.6</v>
      </c>
      <c r="G46" s="101">
        <f t="shared" si="19"/>
        <v>349.6</v>
      </c>
      <c r="H46" s="101">
        <f t="shared" si="19"/>
        <v>371.2</v>
      </c>
      <c r="I46" s="101">
        <v>350.5</v>
      </c>
      <c r="J46" s="101">
        <f t="shared" si="19"/>
        <v>371.2</v>
      </c>
      <c r="K46" s="101">
        <f t="shared" si="19"/>
        <v>415.2</v>
      </c>
      <c r="L46" s="101">
        <f t="shared" si="19"/>
        <v>371.1</v>
      </c>
      <c r="M46" s="122">
        <f t="shared" si="19"/>
        <v>0</v>
      </c>
      <c r="N46" s="101">
        <f>SUM(N45)</f>
        <v>1463.1</v>
      </c>
      <c r="O46" s="101">
        <f>SUM(G46+I46+K46+M46)</f>
        <v>1115.3</v>
      </c>
    </row>
    <row r="47" spans="1:15" s="1" customFormat="1" ht="24.75" customHeight="1" x14ac:dyDescent="0.2">
      <c r="A47" s="102"/>
      <c r="B47" s="22" t="s">
        <v>59</v>
      </c>
      <c r="C47" s="80"/>
      <c r="D47" s="101"/>
      <c r="E47" s="101"/>
      <c r="F47" s="101"/>
      <c r="G47" s="101"/>
      <c r="H47" s="101"/>
      <c r="I47" s="101"/>
      <c r="J47" s="101"/>
      <c r="K47" s="122"/>
      <c r="L47" s="122"/>
      <c r="M47" s="122"/>
      <c r="N47" s="161"/>
      <c r="O47" s="162"/>
    </row>
    <row r="48" spans="1:15" s="1" customFormat="1" ht="27.75" customHeight="1" x14ac:dyDescent="0.2">
      <c r="A48" s="102"/>
      <c r="B48" s="22" t="s">
        <v>60</v>
      </c>
      <c r="C48" s="80"/>
      <c r="D48" s="101">
        <f t="shared" ref="D48:M48" si="20">SUM(D46)</f>
        <v>1463.1</v>
      </c>
      <c r="E48" s="101">
        <f t="shared" si="20"/>
        <v>1463.1</v>
      </c>
      <c r="F48" s="101">
        <f t="shared" si="20"/>
        <v>349.6</v>
      </c>
      <c r="G48" s="101">
        <f t="shared" si="20"/>
        <v>349.6</v>
      </c>
      <c r="H48" s="101">
        <f t="shared" si="20"/>
        <v>371.2</v>
      </c>
      <c r="I48" s="101">
        <f t="shared" si="20"/>
        <v>350.5</v>
      </c>
      <c r="J48" s="101">
        <f t="shared" si="20"/>
        <v>371.2</v>
      </c>
      <c r="K48" s="101">
        <f t="shared" si="20"/>
        <v>415.2</v>
      </c>
      <c r="L48" s="101">
        <f t="shared" si="20"/>
        <v>371.1</v>
      </c>
      <c r="M48" s="122">
        <f t="shared" si="20"/>
        <v>0</v>
      </c>
      <c r="N48" s="161">
        <f>SUM(F48+H48+J48+L48)</f>
        <v>1463.1</v>
      </c>
      <c r="O48" s="163">
        <f>SUM(G48+I48+K48+M48)</f>
        <v>1115.3</v>
      </c>
    </row>
    <row r="49" spans="1:15" s="1" customFormat="1" ht="39" customHeight="1" thickBot="1" x14ac:dyDescent="0.25">
      <c r="A49" s="102"/>
      <c r="B49" s="35" t="s">
        <v>61</v>
      </c>
      <c r="C49" s="35"/>
      <c r="D49" s="164">
        <v>0</v>
      </c>
      <c r="E49" s="164">
        <v>0</v>
      </c>
      <c r="F49" s="164">
        <v>0</v>
      </c>
      <c r="G49" s="164">
        <v>0</v>
      </c>
      <c r="H49" s="164">
        <v>0</v>
      </c>
      <c r="I49" s="164"/>
      <c r="J49" s="164">
        <v>0</v>
      </c>
      <c r="K49" s="164">
        <v>0</v>
      </c>
      <c r="L49" s="164">
        <v>0</v>
      </c>
      <c r="M49" s="165">
        <v>0</v>
      </c>
      <c r="N49" s="165">
        <v>0</v>
      </c>
      <c r="O49" s="165">
        <v>0</v>
      </c>
    </row>
    <row r="50" spans="1:15" s="1" customFormat="1" ht="29.25" customHeight="1" thickBot="1" x14ac:dyDescent="0.25">
      <c r="A50" s="28" t="s">
        <v>2</v>
      </c>
      <c r="B50" s="39"/>
      <c r="C50" s="309"/>
      <c r="D50" s="40">
        <f t="shared" ref="D50:N50" si="21">SUM(D46+D42+D28)</f>
        <v>131065.49999999999</v>
      </c>
      <c r="E50" s="40">
        <f t="shared" si="21"/>
        <v>131065.49999999999</v>
      </c>
      <c r="F50" s="40">
        <f t="shared" si="21"/>
        <v>23471.8</v>
      </c>
      <c r="G50" s="40">
        <f t="shared" si="21"/>
        <v>22205.5</v>
      </c>
      <c r="H50" s="40">
        <f t="shared" si="21"/>
        <v>29264.400000000001</v>
      </c>
      <c r="I50" s="40">
        <f t="shared" si="21"/>
        <v>29634.300000000003</v>
      </c>
      <c r="J50" s="40">
        <f t="shared" si="21"/>
        <v>29676.3</v>
      </c>
      <c r="K50" s="40">
        <f t="shared" si="21"/>
        <v>28461.8</v>
      </c>
      <c r="L50" s="40">
        <f t="shared" si="21"/>
        <v>48653</v>
      </c>
      <c r="M50" s="40">
        <f t="shared" si="21"/>
        <v>0</v>
      </c>
      <c r="N50" s="40">
        <f t="shared" si="21"/>
        <v>131065.49999999999</v>
      </c>
      <c r="O50" s="40">
        <f>SUM(O46+O42+O28)</f>
        <v>80301.600000000006</v>
      </c>
    </row>
    <row r="51" spans="1:15" s="1" customFormat="1" ht="29.25" customHeight="1" thickBot="1" x14ac:dyDescent="0.25">
      <c r="A51" s="38"/>
      <c r="B51" s="41" t="s">
        <v>59</v>
      </c>
      <c r="C51" s="305"/>
      <c r="D51" s="40"/>
      <c r="E51" s="40"/>
      <c r="F51" s="40"/>
      <c r="G51" s="40"/>
      <c r="H51" s="40"/>
      <c r="I51" s="40"/>
      <c r="J51" s="40"/>
      <c r="K51" s="40"/>
      <c r="L51" s="40"/>
      <c r="M51" s="123"/>
      <c r="N51" s="33"/>
      <c r="O51" s="65"/>
    </row>
    <row r="52" spans="1:15" s="1" customFormat="1" ht="29.25" customHeight="1" thickBot="1" x14ac:dyDescent="0.25">
      <c r="A52" s="38"/>
      <c r="B52" s="41" t="s">
        <v>60</v>
      </c>
      <c r="C52" s="305"/>
      <c r="D52" s="40">
        <f t="shared" ref="D52:O52" si="22">SUM(D48+D43+D30)</f>
        <v>112225</v>
      </c>
      <c r="E52" s="40">
        <f t="shared" si="22"/>
        <v>112225.00000000001</v>
      </c>
      <c r="F52" s="40">
        <f t="shared" si="22"/>
        <v>23471.8</v>
      </c>
      <c r="G52" s="40">
        <f t="shared" si="22"/>
        <v>22205.5</v>
      </c>
      <c r="H52" s="40">
        <f t="shared" si="22"/>
        <v>27232.9</v>
      </c>
      <c r="I52" s="40">
        <f t="shared" si="22"/>
        <v>27602.800000000003</v>
      </c>
      <c r="J52" s="40">
        <f t="shared" si="22"/>
        <v>27861.9</v>
      </c>
      <c r="K52" s="40">
        <f t="shared" si="22"/>
        <v>27483.4</v>
      </c>
      <c r="L52" s="40">
        <f t="shared" si="22"/>
        <v>33938.400000000001</v>
      </c>
      <c r="M52" s="40">
        <f t="shared" si="22"/>
        <v>0</v>
      </c>
      <c r="N52" s="40">
        <f t="shared" si="22"/>
        <v>112505.00000000001</v>
      </c>
      <c r="O52" s="40">
        <f t="shared" si="22"/>
        <v>77291.700000000012</v>
      </c>
    </row>
    <row r="53" spans="1:15" s="1" customFormat="1" ht="37.5" customHeight="1" thickBot="1" x14ac:dyDescent="0.25">
      <c r="A53" s="38"/>
      <c r="B53" s="42" t="s">
        <v>61</v>
      </c>
      <c r="C53" s="306"/>
      <c r="D53" s="40">
        <f t="shared" ref="D53:O53" si="23">SUM(D44)</f>
        <v>18540.5</v>
      </c>
      <c r="E53" s="40">
        <f t="shared" si="23"/>
        <v>18540.5</v>
      </c>
      <c r="F53" s="40">
        <f t="shared" si="23"/>
        <v>0</v>
      </c>
      <c r="G53" s="40">
        <f t="shared" si="23"/>
        <v>0</v>
      </c>
      <c r="H53" s="40">
        <f t="shared" si="23"/>
        <v>2031.5</v>
      </c>
      <c r="I53" s="40">
        <f t="shared" si="23"/>
        <v>2031.5</v>
      </c>
      <c r="J53" s="40">
        <f t="shared" si="23"/>
        <v>1794.3999999999999</v>
      </c>
      <c r="K53" s="40">
        <f t="shared" si="23"/>
        <v>978.40000000000009</v>
      </c>
      <c r="L53" s="40">
        <f t="shared" si="23"/>
        <v>14714.599999999999</v>
      </c>
      <c r="M53" s="40">
        <f t="shared" si="23"/>
        <v>0</v>
      </c>
      <c r="N53" s="40">
        <f t="shared" si="23"/>
        <v>18540.5</v>
      </c>
      <c r="O53" s="40">
        <f t="shared" si="23"/>
        <v>3009.9</v>
      </c>
    </row>
    <row r="54" spans="1:15" ht="28.5" customHeight="1" x14ac:dyDescent="0.25">
      <c r="A54" s="661" t="s">
        <v>18</v>
      </c>
      <c r="B54" s="662"/>
      <c r="C54" s="662"/>
      <c r="D54" s="662"/>
      <c r="E54" s="662"/>
      <c r="F54" s="662"/>
      <c r="G54" s="662"/>
      <c r="H54" s="662"/>
      <c r="I54" s="662"/>
      <c r="J54" s="662"/>
      <c r="K54" s="662"/>
      <c r="L54" s="662"/>
      <c r="M54" s="662"/>
      <c r="N54" s="663"/>
      <c r="O54" s="664"/>
    </row>
    <row r="55" spans="1:15" ht="53.25" customHeight="1" x14ac:dyDescent="0.2">
      <c r="A55" s="642" t="s">
        <v>19</v>
      </c>
      <c r="B55" s="204" t="s">
        <v>85</v>
      </c>
      <c r="C55" s="204"/>
      <c r="D55" s="223">
        <v>3066</v>
      </c>
      <c r="E55" s="223">
        <v>3066</v>
      </c>
      <c r="F55" s="190">
        <v>732.3</v>
      </c>
      <c r="G55" s="190">
        <v>732.3</v>
      </c>
      <c r="H55" s="190">
        <v>777.9</v>
      </c>
      <c r="I55" s="252">
        <v>1220.0999999999999</v>
      </c>
      <c r="J55" s="190">
        <v>777.9</v>
      </c>
      <c r="K55" s="191">
        <v>648.70000000000005</v>
      </c>
      <c r="L55" s="190">
        <v>777.9</v>
      </c>
      <c r="M55" s="211"/>
      <c r="N55" s="191">
        <f t="shared" ref="N55:N57" si="24">SUM(F55+H55+J55+L55)</f>
        <v>3066</v>
      </c>
      <c r="O55" s="191">
        <f t="shared" ref="O55:O57" si="25">SUM(G55+I55+K55+M55)</f>
        <v>2601.1</v>
      </c>
    </row>
    <row r="56" spans="1:15" ht="69.75" customHeight="1" x14ac:dyDescent="0.2">
      <c r="A56" s="643"/>
      <c r="B56" s="204" t="s">
        <v>20</v>
      </c>
      <c r="C56" s="204"/>
      <c r="D56" s="223">
        <v>230</v>
      </c>
      <c r="E56" s="223">
        <v>230</v>
      </c>
      <c r="F56" s="190"/>
      <c r="G56" s="190"/>
      <c r="H56" s="191"/>
      <c r="I56" s="252"/>
      <c r="J56" s="191">
        <v>230</v>
      </c>
      <c r="K56" s="191">
        <v>230</v>
      </c>
      <c r="L56" s="191"/>
      <c r="M56" s="211"/>
      <c r="N56" s="191">
        <f t="shared" ref="N56" si="26">SUM(F56+H56+J56+L56)</f>
        <v>230</v>
      </c>
      <c r="O56" s="191">
        <f t="shared" ref="O56" si="27">SUM(G56+I56+K56+M56)</f>
        <v>230</v>
      </c>
    </row>
    <row r="57" spans="1:15" ht="84" customHeight="1" x14ac:dyDescent="0.2">
      <c r="A57" s="644"/>
      <c r="B57" s="204" t="s">
        <v>86</v>
      </c>
      <c r="C57" s="204"/>
      <c r="D57" s="223">
        <v>3415.6</v>
      </c>
      <c r="E57" s="223">
        <v>3415.6</v>
      </c>
      <c r="F57" s="191">
        <v>796.4</v>
      </c>
      <c r="G57" s="191">
        <v>796.4</v>
      </c>
      <c r="H57" s="191">
        <v>873.1</v>
      </c>
      <c r="I57" s="252">
        <v>774.3</v>
      </c>
      <c r="J57" s="191">
        <v>873.1</v>
      </c>
      <c r="K57" s="191">
        <v>774.4</v>
      </c>
      <c r="L57" s="191">
        <v>873</v>
      </c>
      <c r="M57" s="211"/>
      <c r="N57" s="191">
        <f t="shared" si="24"/>
        <v>3415.6</v>
      </c>
      <c r="O57" s="191">
        <f t="shared" si="25"/>
        <v>2345.1</v>
      </c>
    </row>
    <row r="58" spans="1:15" ht="37.5" x14ac:dyDescent="0.2">
      <c r="A58" s="28" t="s">
        <v>12</v>
      </c>
      <c r="B58" s="39"/>
      <c r="C58" s="39"/>
      <c r="D58" s="293">
        <f>SUM(D55+D57+D56)</f>
        <v>6711.6</v>
      </c>
      <c r="E58" s="293">
        <f>SUM(E55+E57+E56)</f>
        <v>6711.6</v>
      </c>
      <c r="F58" s="293">
        <f t="shared" ref="F58:K58" si="28">SUM(F55+F57)</f>
        <v>1528.6999999999998</v>
      </c>
      <c r="G58" s="293">
        <f t="shared" si="28"/>
        <v>1528.6999999999998</v>
      </c>
      <c r="H58" s="293">
        <f t="shared" si="28"/>
        <v>1651</v>
      </c>
      <c r="I58" s="293">
        <f t="shared" si="28"/>
        <v>1994.3999999999999</v>
      </c>
      <c r="J58" s="293">
        <f t="shared" si="28"/>
        <v>1651</v>
      </c>
      <c r="K58" s="293">
        <f t="shared" si="28"/>
        <v>1423.1</v>
      </c>
      <c r="L58" s="293">
        <f>SUM(L55+L57+L56)</f>
        <v>1650.9</v>
      </c>
      <c r="M58" s="293">
        <f>SUM(M55+M57+M56)</f>
        <v>0</v>
      </c>
      <c r="N58" s="293">
        <f>SUM(N55+N57+N56)</f>
        <v>6711.6</v>
      </c>
      <c r="O58" s="293">
        <f>SUM(O55+O57+O56)</f>
        <v>5176.2</v>
      </c>
    </row>
    <row r="59" spans="1:15" ht="15.75" x14ac:dyDescent="0.2">
      <c r="A59" s="81"/>
      <c r="B59" s="41" t="s">
        <v>59</v>
      </c>
      <c r="C59" s="41"/>
      <c r="D59" s="293"/>
      <c r="E59" s="293"/>
      <c r="F59" s="294"/>
      <c r="G59" s="295"/>
      <c r="H59" s="293"/>
      <c r="I59" s="293"/>
      <c r="J59" s="294"/>
      <c r="K59" s="68"/>
      <c r="L59" s="295"/>
      <c r="M59" s="296"/>
      <c r="N59" s="68"/>
      <c r="O59" s="68"/>
    </row>
    <row r="60" spans="1:15" ht="15.75" x14ac:dyDescent="0.2">
      <c r="A60" s="81"/>
      <c r="B60" s="41" t="s">
        <v>60</v>
      </c>
      <c r="C60" s="41"/>
      <c r="D60" s="293">
        <f>SUM(D55+D57+D56)</f>
        <v>6711.6</v>
      </c>
      <c r="E60" s="293">
        <f>SUM(E55+E57+E56)</f>
        <v>6711.6</v>
      </c>
      <c r="F60" s="293">
        <f t="shared" ref="F60:K60" si="29">SUM(F55+F57)</f>
        <v>1528.6999999999998</v>
      </c>
      <c r="G60" s="293">
        <f t="shared" si="29"/>
        <v>1528.6999999999998</v>
      </c>
      <c r="H60" s="293">
        <f t="shared" si="29"/>
        <v>1651</v>
      </c>
      <c r="I60" s="293">
        <f t="shared" si="29"/>
        <v>1994.3999999999999</v>
      </c>
      <c r="J60" s="293">
        <f t="shared" si="29"/>
        <v>1651</v>
      </c>
      <c r="K60" s="293">
        <f t="shared" si="29"/>
        <v>1423.1</v>
      </c>
      <c r="L60" s="293">
        <f>SUM(L55+L57+L56)</f>
        <v>1650.9</v>
      </c>
      <c r="M60" s="293">
        <f>SUM(M55+M57+M56)</f>
        <v>0</v>
      </c>
      <c r="N60" s="297">
        <f>SUM(F60+H60+J60+L60)</f>
        <v>6481.6</v>
      </c>
      <c r="O60" s="293">
        <f>SUM(O57+O56+O55)</f>
        <v>5176.2</v>
      </c>
    </row>
    <row r="61" spans="1:15" s="1" customFormat="1" ht="32.25" customHeight="1" thickBot="1" x14ac:dyDescent="0.25">
      <c r="A61" s="28"/>
      <c r="B61" s="42" t="s">
        <v>61</v>
      </c>
      <c r="C61" s="86"/>
      <c r="D61" s="298"/>
      <c r="E61" s="298"/>
      <c r="F61" s="298"/>
      <c r="G61" s="298"/>
      <c r="H61" s="298"/>
      <c r="I61" s="298"/>
      <c r="J61" s="298"/>
      <c r="K61" s="298"/>
      <c r="L61" s="298"/>
      <c r="M61" s="299"/>
      <c r="N61" s="33"/>
      <c r="O61" s="65"/>
    </row>
    <row r="62" spans="1:15" ht="28.5" customHeight="1" x14ac:dyDescent="0.25">
      <c r="A62" s="661" t="s">
        <v>22</v>
      </c>
      <c r="B62" s="662"/>
      <c r="C62" s="662"/>
      <c r="D62" s="662"/>
      <c r="E62" s="662"/>
      <c r="F62" s="662"/>
      <c r="G62" s="662"/>
      <c r="H62" s="662"/>
      <c r="I62" s="662"/>
      <c r="J62" s="662"/>
      <c r="K62" s="662"/>
      <c r="L62" s="662"/>
      <c r="M62" s="662"/>
      <c r="N62" s="663"/>
      <c r="O62" s="664"/>
    </row>
    <row r="63" spans="1:15" ht="165" customHeight="1" x14ac:dyDescent="0.2">
      <c r="A63" s="604" t="s">
        <v>102</v>
      </c>
      <c r="B63" s="327" t="s">
        <v>101</v>
      </c>
      <c r="C63" s="685" t="s">
        <v>136</v>
      </c>
      <c r="D63" s="421">
        <v>3834</v>
      </c>
      <c r="E63" s="421">
        <v>3834</v>
      </c>
      <c r="F63" s="421">
        <v>3834</v>
      </c>
      <c r="G63" s="324">
        <v>3833.8</v>
      </c>
      <c r="H63" s="324">
        <v>0</v>
      </c>
      <c r="I63" s="324">
        <v>0</v>
      </c>
      <c r="J63" s="324">
        <v>0</v>
      </c>
      <c r="K63" s="328">
        <v>0</v>
      </c>
      <c r="L63" s="328">
        <v>0</v>
      </c>
      <c r="M63" s="329">
        <v>0</v>
      </c>
      <c r="N63" s="422">
        <f t="shared" ref="N63:O66" si="30">SUM(F63+H63+J63+L63)</f>
        <v>3834</v>
      </c>
      <c r="O63" s="331">
        <f t="shared" si="30"/>
        <v>3833.8</v>
      </c>
    </row>
    <row r="64" spans="1:15" ht="24" customHeight="1" x14ac:dyDescent="0.2">
      <c r="A64" s="604"/>
      <c r="B64" s="323" t="s">
        <v>59</v>
      </c>
      <c r="C64" s="612"/>
      <c r="D64" s="324"/>
      <c r="E64" s="324"/>
      <c r="F64" s="324"/>
      <c r="G64" s="324"/>
      <c r="H64" s="324"/>
      <c r="I64" s="324"/>
      <c r="J64" s="324"/>
      <c r="K64" s="328"/>
      <c r="L64" s="328"/>
      <c r="M64" s="329"/>
      <c r="N64" s="212"/>
      <c r="O64" s="222"/>
    </row>
    <row r="65" spans="1:15" ht="24.75" customHeight="1" x14ac:dyDescent="0.2">
      <c r="A65" s="604"/>
      <c r="B65" s="323" t="s">
        <v>60</v>
      </c>
      <c r="C65" s="612"/>
      <c r="D65" s="324">
        <v>1840.3</v>
      </c>
      <c r="E65" s="324">
        <v>1840.3</v>
      </c>
      <c r="F65" s="324">
        <v>1840.3</v>
      </c>
      <c r="G65" s="324">
        <v>1840.2</v>
      </c>
      <c r="H65" s="324">
        <v>0</v>
      </c>
      <c r="I65" s="324">
        <v>0</v>
      </c>
      <c r="J65" s="324">
        <v>0</v>
      </c>
      <c r="K65" s="328">
        <v>0</v>
      </c>
      <c r="L65" s="328">
        <v>0</v>
      </c>
      <c r="M65" s="329">
        <v>0</v>
      </c>
      <c r="N65" s="330">
        <f t="shared" si="30"/>
        <v>1840.3</v>
      </c>
      <c r="O65" s="331">
        <f t="shared" si="30"/>
        <v>1840.2</v>
      </c>
    </row>
    <row r="66" spans="1:15" ht="32.25" customHeight="1" x14ac:dyDescent="0.2">
      <c r="A66" s="604"/>
      <c r="B66" s="322" t="s">
        <v>61</v>
      </c>
      <c r="C66" s="613"/>
      <c r="D66" s="324">
        <v>1993.7</v>
      </c>
      <c r="E66" s="324">
        <v>1993.7</v>
      </c>
      <c r="F66" s="324">
        <v>1993.7</v>
      </c>
      <c r="G66" s="324">
        <v>1993.6</v>
      </c>
      <c r="H66" s="324">
        <v>0</v>
      </c>
      <c r="I66" s="324">
        <v>0</v>
      </c>
      <c r="J66" s="324">
        <v>0</v>
      </c>
      <c r="K66" s="328">
        <v>0</v>
      </c>
      <c r="L66" s="328">
        <v>0</v>
      </c>
      <c r="M66" s="329">
        <v>0</v>
      </c>
      <c r="N66" s="330">
        <f t="shared" si="30"/>
        <v>1993.7</v>
      </c>
      <c r="O66" s="331">
        <f t="shared" si="30"/>
        <v>1993.6</v>
      </c>
    </row>
    <row r="67" spans="1:15" s="1" customFormat="1" ht="39.75" customHeight="1" x14ac:dyDescent="0.2">
      <c r="A67" s="6" t="s">
        <v>12</v>
      </c>
      <c r="B67" s="36"/>
      <c r="C67" s="36"/>
      <c r="D67" s="20">
        <f>SUM(D69+D70)</f>
        <v>3834</v>
      </c>
      <c r="E67" s="20">
        <f>SUM(E69+E70)</f>
        <v>3834</v>
      </c>
      <c r="F67" s="20">
        <f>SUM(F69+F70)</f>
        <v>3834</v>
      </c>
      <c r="G67" s="20">
        <f>SUM(G69+G70)</f>
        <v>3833.8</v>
      </c>
      <c r="H67" s="20">
        <f>SUM(H69+H70)</f>
        <v>0</v>
      </c>
      <c r="I67" s="20">
        <f>SUM(I63+I66)</f>
        <v>0</v>
      </c>
      <c r="J67" s="20">
        <f>SUM(J69+J70)</f>
        <v>0</v>
      </c>
      <c r="K67" s="20">
        <f>SUM(K69+K70)</f>
        <v>0</v>
      </c>
      <c r="L67" s="20">
        <f>SUM(L63+L66)</f>
        <v>0</v>
      </c>
      <c r="M67" s="20">
        <f>SUM(M63+M66)</f>
        <v>0</v>
      </c>
      <c r="N67" s="20">
        <f>SUM(N69+N70)</f>
        <v>3834</v>
      </c>
      <c r="O67" s="20">
        <f>SUM(O69+O70)</f>
        <v>3833.8</v>
      </c>
    </row>
    <row r="68" spans="1:15" s="1" customFormat="1" ht="32.25" customHeight="1" x14ac:dyDescent="0.2">
      <c r="A68" s="94"/>
      <c r="B68" s="22" t="s">
        <v>59</v>
      </c>
      <c r="C68" s="22"/>
      <c r="D68" s="20"/>
      <c r="E68" s="20"/>
      <c r="F68" s="7"/>
      <c r="G68" s="7"/>
      <c r="H68" s="7"/>
      <c r="I68" s="7"/>
      <c r="J68" s="7"/>
      <c r="K68" s="7"/>
      <c r="L68" s="20"/>
      <c r="M68" s="126"/>
      <c r="N68" s="7"/>
      <c r="O68" s="136"/>
    </row>
    <row r="69" spans="1:15" s="1" customFormat="1" ht="32.25" customHeight="1" x14ac:dyDescent="0.2">
      <c r="A69" s="94"/>
      <c r="B69" s="22" t="s">
        <v>60</v>
      </c>
      <c r="C69" s="22"/>
      <c r="D69" s="20">
        <f t="shared" ref="D69:O69" si="31">SUM(D65)</f>
        <v>1840.3</v>
      </c>
      <c r="E69" s="20">
        <f t="shared" si="31"/>
        <v>1840.3</v>
      </c>
      <c r="F69" s="20">
        <f t="shared" si="31"/>
        <v>1840.3</v>
      </c>
      <c r="G69" s="20">
        <f t="shared" si="31"/>
        <v>1840.2</v>
      </c>
      <c r="H69" s="20">
        <f t="shared" si="31"/>
        <v>0</v>
      </c>
      <c r="I69" s="20">
        <f t="shared" si="31"/>
        <v>0</v>
      </c>
      <c r="J69" s="20">
        <f t="shared" si="31"/>
        <v>0</v>
      </c>
      <c r="K69" s="20">
        <f t="shared" si="31"/>
        <v>0</v>
      </c>
      <c r="L69" s="20">
        <f t="shared" si="31"/>
        <v>0</v>
      </c>
      <c r="M69" s="20">
        <f t="shared" si="31"/>
        <v>0</v>
      </c>
      <c r="N69" s="20">
        <f t="shared" si="31"/>
        <v>1840.3</v>
      </c>
      <c r="O69" s="20">
        <f t="shared" si="31"/>
        <v>1840.2</v>
      </c>
    </row>
    <row r="70" spans="1:15" s="1" customFormat="1" ht="32.25" customHeight="1" thickBot="1" x14ac:dyDescent="0.25">
      <c r="A70" s="94"/>
      <c r="B70" s="35" t="s">
        <v>61</v>
      </c>
      <c r="C70" s="80"/>
      <c r="D70" s="21">
        <f t="shared" ref="D70:O70" si="32">SUM(D66)</f>
        <v>1993.7</v>
      </c>
      <c r="E70" s="21">
        <f t="shared" si="32"/>
        <v>1993.7</v>
      </c>
      <c r="F70" s="21">
        <f t="shared" si="32"/>
        <v>1993.7</v>
      </c>
      <c r="G70" s="21">
        <f t="shared" si="32"/>
        <v>1993.6</v>
      </c>
      <c r="H70" s="21">
        <f t="shared" si="32"/>
        <v>0</v>
      </c>
      <c r="I70" s="21">
        <f t="shared" si="32"/>
        <v>0</v>
      </c>
      <c r="J70" s="21">
        <f t="shared" si="32"/>
        <v>0</v>
      </c>
      <c r="K70" s="21">
        <f t="shared" si="32"/>
        <v>0</v>
      </c>
      <c r="L70" s="21">
        <f t="shared" si="32"/>
        <v>0</v>
      </c>
      <c r="M70" s="21">
        <f t="shared" si="32"/>
        <v>0</v>
      </c>
      <c r="N70" s="21">
        <f t="shared" si="32"/>
        <v>1993.7</v>
      </c>
      <c r="O70" s="21">
        <f t="shared" si="32"/>
        <v>1993.6</v>
      </c>
    </row>
    <row r="71" spans="1:15" s="1" customFormat="1" ht="85.5" customHeight="1" x14ac:dyDescent="0.2">
      <c r="A71" s="651" t="s">
        <v>179</v>
      </c>
      <c r="B71" s="473" t="s">
        <v>103</v>
      </c>
      <c r="C71" s="473"/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489"/>
      <c r="O71" s="489"/>
    </row>
    <row r="72" spans="1:15" s="1" customFormat="1" ht="18.75" customHeight="1" x14ac:dyDescent="0.2">
      <c r="A72" s="652"/>
      <c r="B72" s="488" t="s">
        <v>60</v>
      </c>
      <c r="C72" s="473"/>
      <c r="D72" s="480">
        <v>2184.5</v>
      </c>
      <c r="E72" s="480">
        <v>2184.5</v>
      </c>
      <c r="F72" s="480">
        <v>550</v>
      </c>
      <c r="G72" s="480">
        <v>180.9</v>
      </c>
      <c r="H72" s="480">
        <v>550</v>
      </c>
      <c r="I72" s="480">
        <v>183.21</v>
      </c>
      <c r="J72" s="480">
        <v>550</v>
      </c>
      <c r="K72" s="480">
        <v>10.62</v>
      </c>
      <c r="L72" s="480">
        <v>534.5</v>
      </c>
      <c r="M72" s="480"/>
      <c r="N72" s="330">
        <v>2184.5</v>
      </c>
      <c r="O72" s="331">
        <f>SUM(G72+I72+K72+M72)</f>
        <v>374.73</v>
      </c>
    </row>
    <row r="73" spans="1:15" s="1" customFormat="1" ht="32.25" customHeight="1" x14ac:dyDescent="0.2">
      <c r="A73" s="652"/>
      <c r="B73" s="473" t="s">
        <v>104</v>
      </c>
      <c r="C73" s="473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519"/>
      <c r="O73" s="519"/>
    </row>
    <row r="74" spans="1:15" s="1" customFormat="1" ht="21.75" customHeight="1" x14ac:dyDescent="0.2">
      <c r="A74" s="652"/>
      <c r="B74" s="488" t="s">
        <v>60</v>
      </c>
      <c r="C74" s="473"/>
      <c r="D74" s="480">
        <v>500</v>
      </c>
      <c r="E74" s="480">
        <v>500</v>
      </c>
      <c r="F74" s="480">
        <v>0</v>
      </c>
      <c r="G74" s="480">
        <v>0</v>
      </c>
      <c r="H74" s="480">
        <v>500</v>
      </c>
      <c r="I74" s="480">
        <v>0</v>
      </c>
      <c r="J74" s="480">
        <v>0</v>
      </c>
      <c r="K74" s="480">
        <v>0</v>
      </c>
      <c r="L74" s="480">
        <v>0</v>
      </c>
      <c r="M74" s="480">
        <v>0</v>
      </c>
      <c r="N74" s="330">
        <v>500</v>
      </c>
      <c r="O74" s="331">
        <v>0</v>
      </c>
    </row>
    <row r="75" spans="1:15" s="487" customFormat="1" ht="81" customHeight="1" x14ac:dyDescent="0.2">
      <c r="A75" s="652"/>
      <c r="B75" s="473" t="s">
        <v>105</v>
      </c>
      <c r="C75" s="473"/>
      <c r="D75" s="480"/>
      <c r="E75" s="480"/>
      <c r="F75" s="480"/>
      <c r="G75" s="480"/>
      <c r="H75" s="480"/>
      <c r="I75" s="480"/>
      <c r="J75" s="480"/>
      <c r="K75" s="480"/>
      <c r="L75" s="480"/>
      <c r="M75" s="480"/>
      <c r="N75" s="520"/>
      <c r="O75" s="520"/>
    </row>
    <row r="76" spans="1:15" s="487" customFormat="1" ht="21.75" customHeight="1" x14ac:dyDescent="0.2">
      <c r="A76" s="652"/>
      <c r="B76" s="488" t="s">
        <v>60</v>
      </c>
      <c r="C76" s="473"/>
      <c r="D76" s="480">
        <v>50</v>
      </c>
      <c r="E76" s="480">
        <v>50</v>
      </c>
      <c r="F76" s="480">
        <v>0</v>
      </c>
      <c r="G76" s="480">
        <v>0</v>
      </c>
      <c r="H76" s="480">
        <v>50</v>
      </c>
      <c r="I76" s="480">
        <v>0</v>
      </c>
      <c r="J76" s="480">
        <v>0</v>
      </c>
      <c r="K76" s="480">
        <v>0</v>
      </c>
      <c r="L76" s="480">
        <v>0</v>
      </c>
      <c r="M76" s="480">
        <v>0</v>
      </c>
      <c r="N76" s="330">
        <v>50</v>
      </c>
      <c r="O76" s="331">
        <v>0</v>
      </c>
    </row>
    <row r="77" spans="1:15" s="1" customFormat="1" ht="111.75" customHeight="1" x14ac:dyDescent="0.2">
      <c r="A77" s="652"/>
      <c r="B77" s="473" t="s">
        <v>180</v>
      </c>
      <c r="C77" s="473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520"/>
      <c r="O77" s="520"/>
    </row>
    <row r="78" spans="1:15" ht="27" customHeight="1" x14ac:dyDescent="0.2">
      <c r="A78" s="680"/>
      <c r="B78" s="488" t="s">
        <v>60</v>
      </c>
      <c r="C78" s="473"/>
      <c r="D78" s="480">
        <v>100</v>
      </c>
      <c r="E78" s="480">
        <v>100</v>
      </c>
      <c r="F78" s="480">
        <v>0</v>
      </c>
      <c r="G78" s="480">
        <v>0</v>
      </c>
      <c r="H78" s="480">
        <v>100</v>
      </c>
      <c r="I78" s="480">
        <v>0</v>
      </c>
      <c r="J78" s="480">
        <v>0</v>
      </c>
      <c r="K78" s="480">
        <v>0</v>
      </c>
      <c r="L78" s="480">
        <v>0</v>
      </c>
      <c r="M78" s="480">
        <v>0</v>
      </c>
      <c r="N78" s="330">
        <v>100</v>
      </c>
      <c r="O78" s="331">
        <v>0</v>
      </c>
    </row>
    <row r="79" spans="1:15" ht="48" customHeight="1" x14ac:dyDescent="0.2">
      <c r="A79" s="6" t="s">
        <v>12</v>
      </c>
      <c r="B79" s="36"/>
      <c r="C79" s="36"/>
      <c r="D79" s="490">
        <f t="shared" ref="D79:O79" si="33">SUM(D72+D74+D78+D76)</f>
        <v>2834.5</v>
      </c>
      <c r="E79" s="494">
        <f t="shared" si="33"/>
        <v>2834.5</v>
      </c>
      <c r="F79" s="494">
        <f t="shared" si="33"/>
        <v>550</v>
      </c>
      <c r="G79" s="494">
        <f t="shared" si="33"/>
        <v>180.9</v>
      </c>
      <c r="H79" s="494">
        <f t="shared" si="33"/>
        <v>1200</v>
      </c>
      <c r="I79" s="494">
        <f t="shared" si="33"/>
        <v>183.21</v>
      </c>
      <c r="J79" s="494">
        <f t="shared" si="33"/>
        <v>550</v>
      </c>
      <c r="K79" s="494">
        <f t="shared" si="33"/>
        <v>10.62</v>
      </c>
      <c r="L79" s="494">
        <f t="shared" si="33"/>
        <v>534.5</v>
      </c>
      <c r="M79" s="494">
        <f t="shared" si="33"/>
        <v>0</v>
      </c>
      <c r="N79" s="494">
        <f t="shared" si="33"/>
        <v>2834.5</v>
      </c>
      <c r="O79" s="494">
        <f t="shared" si="33"/>
        <v>374.73</v>
      </c>
    </row>
    <row r="80" spans="1:15" ht="24.75" customHeight="1" x14ac:dyDescent="0.2">
      <c r="A80" s="684"/>
      <c r="B80" s="22" t="s">
        <v>59</v>
      </c>
      <c r="C80" s="22"/>
      <c r="D80" s="490"/>
      <c r="E80" s="490"/>
      <c r="F80" s="490"/>
      <c r="G80" s="490"/>
      <c r="H80" s="490"/>
      <c r="I80" s="490"/>
      <c r="J80" s="490"/>
      <c r="K80" s="490"/>
      <c r="L80" s="490"/>
      <c r="M80" s="490"/>
      <c r="N80" s="7"/>
      <c r="O80" s="7"/>
    </row>
    <row r="81" spans="1:15" ht="28.5" customHeight="1" x14ac:dyDescent="0.2">
      <c r="A81" s="612"/>
      <c r="B81" s="22" t="s">
        <v>60</v>
      </c>
      <c r="C81" s="22"/>
      <c r="D81" s="490">
        <f t="shared" ref="D81:O81" si="34">SUM(D79)</f>
        <v>2834.5</v>
      </c>
      <c r="E81" s="490">
        <f t="shared" si="34"/>
        <v>2834.5</v>
      </c>
      <c r="F81" s="490">
        <f t="shared" si="34"/>
        <v>550</v>
      </c>
      <c r="G81" s="490">
        <f t="shared" si="34"/>
        <v>180.9</v>
      </c>
      <c r="H81" s="490">
        <f t="shared" si="34"/>
        <v>1200</v>
      </c>
      <c r="I81" s="490">
        <f t="shared" si="34"/>
        <v>183.21</v>
      </c>
      <c r="J81" s="490">
        <f t="shared" si="34"/>
        <v>550</v>
      </c>
      <c r="K81" s="490">
        <f t="shared" si="34"/>
        <v>10.62</v>
      </c>
      <c r="L81" s="490">
        <f t="shared" si="34"/>
        <v>534.5</v>
      </c>
      <c r="M81" s="490">
        <f t="shared" si="34"/>
        <v>0</v>
      </c>
      <c r="N81" s="7">
        <f t="shared" si="34"/>
        <v>2834.5</v>
      </c>
      <c r="O81" s="7">
        <f t="shared" si="34"/>
        <v>374.73</v>
      </c>
    </row>
    <row r="82" spans="1:15" s="1" customFormat="1" ht="32.25" customHeight="1" thickBot="1" x14ac:dyDescent="0.25">
      <c r="A82" s="613"/>
      <c r="B82" s="35" t="s">
        <v>61</v>
      </c>
      <c r="C82" s="80"/>
      <c r="D82" s="490">
        <v>0</v>
      </c>
      <c r="E82" s="490">
        <v>0</v>
      </c>
      <c r="F82" s="490"/>
      <c r="G82" s="490"/>
      <c r="H82" s="490"/>
      <c r="I82" s="490"/>
      <c r="J82" s="490">
        <v>0</v>
      </c>
      <c r="K82" s="490">
        <v>0</v>
      </c>
      <c r="L82" s="490">
        <v>0</v>
      </c>
      <c r="M82" s="491"/>
      <c r="N82" s="7"/>
      <c r="O82" s="136"/>
    </row>
    <row r="83" spans="1:15" s="1" customFormat="1" ht="32.25" customHeight="1" x14ac:dyDescent="0.25">
      <c r="A83" s="689" t="s">
        <v>23</v>
      </c>
      <c r="B83" s="590" t="s">
        <v>140</v>
      </c>
      <c r="C83" s="595"/>
      <c r="D83" s="580"/>
      <c r="E83" s="580"/>
      <c r="F83" s="580"/>
      <c r="G83" s="580"/>
      <c r="H83" s="580"/>
      <c r="I83" s="580"/>
      <c r="J83" s="580"/>
      <c r="K83" s="580"/>
      <c r="L83" s="580"/>
      <c r="M83" s="596"/>
      <c r="N83" s="580"/>
      <c r="O83" s="597"/>
    </row>
    <row r="84" spans="1:15" s="1" customFormat="1" ht="22.5" customHeight="1" x14ac:dyDescent="0.25">
      <c r="A84" s="602"/>
      <c r="B84" s="579" t="s">
        <v>60</v>
      </c>
      <c r="C84" s="595"/>
      <c r="D84" s="583">
        <v>2225.4</v>
      </c>
      <c r="E84" s="583">
        <v>2225.4</v>
      </c>
      <c r="F84" s="583">
        <v>400</v>
      </c>
      <c r="G84" s="583">
        <v>346.1</v>
      </c>
      <c r="H84" s="583">
        <v>1825.4</v>
      </c>
      <c r="I84" s="583">
        <v>1718.02</v>
      </c>
      <c r="J84" s="583">
        <v>0</v>
      </c>
      <c r="K84" s="583">
        <v>0</v>
      </c>
      <c r="L84" s="583"/>
      <c r="M84" s="583"/>
      <c r="N84" s="598">
        <f>SUM(F84+H84+J84+L84)</f>
        <v>2225.4</v>
      </c>
      <c r="O84" s="598">
        <f>SUM(G84+I84+K84+M84)</f>
        <v>2064.12</v>
      </c>
    </row>
    <row r="85" spans="1:15" s="1" customFormat="1" ht="38.25" customHeight="1" x14ac:dyDescent="0.25">
      <c r="A85" s="602"/>
      <c r="B85" s="578" t="s">
        <v>168</v>
      </c>
      <c r="C85" s="595"/>
      <c r="D85" s="580"/>
      <c r="E85" s="580"/>
      <c r="F85" s="580"/>
      <c r="G85" s="580"/>
      <c r="H85" s="580"/>
      <c r="I85" s="580"/>
      <c r="J85" s="580"/>
      <c r="K85" s="580"/>
      <c r="L85" s="580"/>
      <c r="M85" s="580"/>
      <c r="N85" s="599"/>
      <c r="O85" s="600"/>
    </row>
    <row r="86" spans="1:15" s="1" customFormat="1" ht="24.75" customHeight="1" x14ac:dyDescent="0.25">
      <c r="A86" s="602"/>
      <c r="B86" s="579" t="s">
        <v>60</v>
      </c>
      <c r="C86" s="595"/>
      <c r="D86" s="583">
        <v>11776.5</v>
      </c>
      <c r="E86" s="583">
        <v>11776.5</v>
      </c>
      <c r="F86" s="583">
        <v>2901.6</v>
      </c>
      <c r="G86" s="583">
        <v>0</v>
      </c>
      <c r="H86" s="583">
        <v>2901.6</v>
      </c>
      <c r="I86" s="583">
        <v>4403.1000000000004</v>
      </c>
      <c r="J86" s="583">
        <v>2901.6</v>
      </c>
      <c r="K86" s="583">
        <v>0</v>
      </c>
      <c r="L86" s="583">
        <v>3071.7</v>
      </c>
      <c r="M86" s="583"/>
      <c r="N86" s="598">
        <f>SUM(F86+H86+J86+L86)</f>
        <v>11776.5</v>
      </c>
      <c r="O86" s="598">
        <f>SUM(G86+I86+K86+M86)</f>
        <v>4403.1000000000004</v>
      </c>
    </row>
    <row r="87" spans="1:15" s="1" customFormat="1" ht="32.25" customHeight="1" x14ac:dyDescent="0.25">
      <c r="A87" s="602"/>
      <c r="B87" s="578" t="s">
        <v>106</v>
      </c>
      <c r="C87" s="595"/>
      <c r="D87" s="580"/>
      <c r="E87" s="580"/>
      <c r="F87" s="580"/>
      <c r="G87" s="580"/>
      <c r="H87" s="580"/>
      <c r="I87" s="580"/>
      <c r="J87" s="580"/>
      <c r="K87" s="580"/>
      <c r="L87" s="580"/>
      <c r="M87" s="580"/>
      <c r="N87" s="580"/>
      <c r="O87" s="580"/>
    </row>
    <row r="88" spans="1:15" s="1" customFormat="1" ht="26.25" customHeight="1" x14ac:dyDescent="0.25">
      <c r="A88" s="602"/>
      <c r="B88" s="579" t="s">
        <v>60</v>
      </c>
      <c r="C88" s="595"/>
      <c r="D88" s="583">
        <v>11204</v>
      </c>
      <c r="E88" s="583">
        <v>11204</v>
      </c>
      <c r="F88" s="583">
        <v>3615.2</v>
      </c>
      <c r="G88" s="583">
        <v>3029.6</v>
      </c>
      <c r="H88" s="583">
        <v>3615.2</v>
      </c>
      <c r="I88" s="583">
        <v>1708.71</v>
      </c>
      <c r="J88" s="583">
        <v>3615.2</v>
      </c>
      <c r="K88" s="583">
        <v>1661.49</v>
      </c>
      <c r="L88" s="583">
        <v>358.4</v>
      </c>
      <c r="M88" s="583"/>
      <c r="N88" s="598">
        <f>SUM(F88+H88+J88+L88)</f>
        <v>11203.999999999998</v>
      </c>
      <c r="O88" s="598">
        <f>SUM(G88+I88+K88+M88)</f>
        <v>6399.7999999999993</v>
      </c>
    </row>
    <row r="89" spans="1:15" s="1" customFormat="1" ht="38.25" customHeight="1" x14ac:dyDescent="0.25">
      <c r="A89" s="602"/>
      <c r="B89" s="578" t="s">
        <v>169</v>
      </c>
      <c r="C89" s="595"/>
      <c r="D89" s="580"/>
      <c r="E89" s="580"/>
      <c r="F89" s="580"/>
      <c r="G89" s="580"/>
      <c r="H89" s="580"/>
      <c r="I89" s="580"/>
      <c r="J89" s="580"/>
      <c r="K89" s="580"/>
      <c r="L89" s="580"/>
      <c r="M89" s="580"/>
      <c r="N89" s="599"/>
      <c r="O89" s="600"/>
    </row>
    <row r="90" spans="1:15" s="1" customFormat="1" ht="21.75" customHeight="1" x14ac:dyDescent="0.25">
      <c r="A90" s="602"/>
      <c r="B90" s="579" t="s">
        <v>60</v>
      </c>
      <c r="C90" s="595"/>
      <c r="D90" s="580">
        <v>50</v>
      </c>
      <c r="E90" s="580">
        <v>50</v>
      </c>
      <c r="F90" s="580">
        <v>0</v>
      </c>
      <c r="G90" s="580">
        <v>0</v>
      </c>
      <c r="H90" s="580">
        <v>50</v>
      </c>
      <c r="I90" s="580">
        <v>0</v>
      </c>
      <c r="J90" s="580">
        <v>0</v>
      </c>
      <c r="K90" s="580">
        <v>0</v>
      </c>
      <c r="L90" s="580">
        <v>0</v>
      </c>
      <c r="M90" s="580">
        <v>0</v>
      </c>
      <c r="N90" s="598">
        <f>SUM(F90+H90+J90+L90)</f>
        <v>50</v>
      </c>
      <c r="O90" s="598">
        <f>SUM(G90+I90+K90+M90)</f>
        <v>0</v>
      </c>
    </row>
    <row r="91" spans="1:15" s="1" customFormat="1" ht="56.25" customHeight="1" x14ac:dyDescent="0.25">
      <c r="A91" s="602"/>
      <c r="B91" s="578" t="s">
        <v>107</v>
      </c>
      <c r="C91" s="595"/>
      <c r="D91" s="580"/>
      <c r="E91" s="580"/>
      <c r="F91" s="580"/>
      <c r="G91" s="580"/>
      <c r="H91" s="580"/>
      <c r="I91" s="580"/>
      <c r="J91" s="580"/>
      <c r="K91" s="580"/>
      <c r="L91" s="580"/>
      <c r="M91" s="580"/>
      <c r="N91" s="580"/>
      <c r="O91" s="580"/>
    </row>
    <row r="92" spans="1:15" s="1" customFormat="1" ht="21.75" customHeight="1" x14ac:dyDescent="0.25">
      <c r="A92" s="602"/>
      <c r="B92" s="579" t="s">
        <v>60</v>
      </c>
      <c r="C92" s="595"/>
      <c r="D92" s="583">
        <v>4959.5</v>
      </c>
      <c r="E92" s="583">
        <v>4959.5</v>
      </c>
      <c r="F92" s="583">
        <v>0</v>
      </c>
      <c r="G92" s="583">
        <v>0</v>
      </c>
      <c r="H92" s="583">
        <v>1653.2</v>
      </c>
      <c r="I92" s="583">
        <v>805.92</v>
      </c>
      <c r="J92" s="583">
        <v>1653.2</v>
      </c>
      <c r="K92" s="583">
        <v>1537.44</v>
      </c>
      <c r="L92" s="583">
        <v>1653.1</v>
      </c>
      <c r="M92" s="583"/>
      <c r="N92" s="598">
        <f>SUM(F92+H92+J92+L92)</f>
        <v>4959.5</v>
      </c>
      <c r="O92" s="598">
        <f>SUM(G92+I92+K92+M92)</f>
        <v>2343.36</v>
      </c>
    </row>
    <row r="93" spans="1:15" s="1" customFormat="1" ht="32.25" customHeight="1" x14ac:dyDescent="0.25">
      <c r="A93" s="602"/>
      <c r="B93" s="579" t="s">
        <v>170</v>
      </c>
      <c r="C93" s="595"/>
      <c r="D93" s="580"/>
      <c r="E93" s="580"/>
      <c r="F93" s="580"/>
      <c r="G93" s="580"/>
      <c r="H93" s="580"/>
      <c r="I93" s="580"/>
      <c r="J93" s="580"/>
      <c r="K93" s="580"/>
      <c r="L93" s="580"/>
      <c r="M93" s="580"/>
      <c r="N93" s="599"/>
      <c r="O93" s="600"/>
    </row>
    <row r="94" spans="1:15" s="1" customFormat="1" ht="32.25" customHeight="1" x14ac:dyDescent="0.25">
      <c r="A94" s="602"/>
      <c r="B94" s="579" t="s">
        <v>60</v>
      </c>
      <c r="C94" s="595"/>
      <c r="D94" s="583">
        <v>667.8</v>
      </c>
      <c r="E94" s="583">
        <v>667.8</v>
      </c>
      <c r="F94" s="583">
        <v>0</v>
      </c>
      <c r="G94" s="583">
        <v>0</v>
      </c>
      <c r="H94" s="583">
        <v>667.8</v>
      </c>
      <c r="I94" s="583">
        <v>667.8</v>
      </c>
      <c r="J94" s="583">
        <v>0</v>
      </c>
      <c r="K94" s="583">
        <v>0</v>
      </c>
      <c r="L94" s="583"/>
      <c r="M94" s="583"/>
      <c r="N94" s="598">
        <f>SUM(F94+H94+J94+L94)</f>
        <v>667.8</v>
      </c>
      <c r="O94" s="598">
        <f>SUM(G94+I94+K94+M94)</f>
        <v>667.8</v>
      </c>
    </row>
    <row r="95" spans="1:15" s="1" customFormat="1" ht="32.25" customHeight="1" x14ac:dyDescent="0.25">
      <c r="A95" s="602"/>
      <c r="B95" s="578" t="s">
        <v>108</v>
      </c>
      <c r="C95" s="595"/>
      <c r="D95" s="580"/>
      <c r="E95" s="580"/>
      <c r="F95" s="580"/>
      <c r="G95" s="580"/>
      <c r="H95" s="580"/>
      <c r="I95" s="580"/>
      <c r="J95" s="580"/>
      <c r="K95" s="580"/>
      <c r="L95" s="580"/>
      <c r="M95" s="580"/>
      <c r="N95" s="580"/>
      <c r="O95" s="580"/>
    </row>
    <row r="96" spans="1:15" s="1" customFormat="1" ht="32.25" customHeight="1" x14ac:dyDescent="0.25">
      <c r="A96" s="602"/>
      <c r="B96" s="579" t="s">
        <v>60</v>
      </c>
      <c r="C96" s="595"/>
      <c r="D96" s="583">
        <v>840</v>
      </c>
      <c r="E96" s="583">
        <v>840</v>
      </c>
      <c r="F96" s="583">
        <v>0</v>
      </c>
      <c r="G96" s="583">
        <v>0</v>
      </c>
      <c r="H96" s="583">
        <v>0</v>
      </c>
      <c r="I96" s="583">
        <v>0</v>
      </c>
      <c r="J96" s="583">
        <v>840</v>
      </c>
      <c r="K96" s="583">
        <v>39.950000000000003</v>
      </c>
      <c r="L96" s="583"/>
      <c r="M96" s="583"/>
      <c r="N96" s="598">
        <f>SUM(F96+H96+J96+L96)</f>
        <v>840</v>
      </c>
      <c r="O96" s="598">
        <f>SUM(G96+I96+K96+M96)</f>
        <v>39.950000000000003</v>
      </c>
    </row>
    <row r="97" spans="1:15" s="477" customFormat="1" ht="32.25" customHeight="1" x14ac:dyDescent="0.25">
      <c r="A97" s="602"/>
      <c r="B97" s="578" t="s">
        <v>171</v>
      </c>
      <c r="C97" s="595"/>
      <c r="D97" s="580"/>
      <c r="E97" s="580"/>
      <c r="F97" s="580"/>
      <c r="G97" s="580"/>
      <c r="H97" s="580"/>
      <c r="I97" s="580"/>
      <c r="J97" s="580"/>
      <c r="K97" s="580"/>
      <c r="L97" s="580"/>
      <c r="M97" s="580"/>
      <c r="N97" s="599"/>
      <c r="O97" s="600"/>
    </row>
    <row r="98" spans="1:15" s="477" customFormat="1" ht="32.25" customHeight="1" x14ac:dyDescent="0.25">
      <c r="A98" s="602"/>
      <c r="B98" s="579" t="s">
        <v>60</v>
      </c>
      <c r="C98" s="595"/>
      <c r="D98" s="583">
        <v>750</v>
      </c>
      <c r="E98" s="583">
        <v>750</v>
      </c>
      <c r="F98" s="583">
        <v>0</v>
      </c>
      <c r="G98" s="583">
        <v>0</v>
      </c>
      <c r="H98" s="583">
        <v>750</v>
      </c>
      <c r="I98" s="583">
        <v>0</v>
      </c>
      <c r="J98" s="583">
        <v>0</v>
      </c>
      <c r="K98" s="583">
        <v>0</v>
      </c>
      <c r="L98" s="583"/>
      <c r="M98" s="583"/>
      <c r="N98" s="598">
        <f>SUM(F98+H98+J98+L98)</f>
        <v>750</v>
      </c>
      <c r="O98" s="598">
        <f>SUM(G98+I98+K98+M98)</f>
        <v>0</v>
      </c>
    </row>
    <row r="99" spans="1:15" s="477" customFormat="1" ht="32.25" customHeight="1" x14ac:dyDescent="0.25">
      <c r="A99" s="602"/>
      <c r="B99" s="578" t="s">
        <v>109</v>
      </c>
      <c r="C99" s="595"/>
      <c r="D99" s="580"/>
      <c r="E99" s="580"/>
      <c r="F99" s="580"/>
      <c r="G99" s="580"/>
      <c r="H99" s="580"/>
      <c r="I99" s="580"/>
      <c r="J99" s="580"/>
      <c r="K99" s="580"/>
      <c r="L99" s="580"/>
      <c r="M99" s="580"/>
      <c r="N99" s="580"/>
      <c r="O99" s="580"/>
    </row>
    <row r="100" spans="1:15" s="477" customFormat="1" ht="32.25" customHeight="1" x14ac:dyDescent="0.25">
      <c r="A100" s="602"/>
      <c r="B100" s="579" t="s">
        <v>60</v>
      </c>
      <c r="C100" s="595"/>
      <c r="D100" s="583">
        <v>1000</v>
      </c>
      <c r="E100" s="583">
        <v>1000</v>
      </c>
      <c r="F100" s="583">
        <v>0</v>
      </c>
      <c r="G100" s="583">
        <v>0</v>
      </c>
      <c r="H100" s="583">
        <v>0</v>
      </c>
      <c r="I100" s="583">
        <v>0</v>
      </c>
      <c r="J100" s="583">
        <v>1000</v>
      </c>
      <c r="K100" s="583">
        <v>228.33</v>
      </c>
      <c r="L100" s="583"/>
      <c r="M100" s="583"/>
      <c r="N100" s="598">
        <f>SUM(F100+H100+J100+L100)</f>
        <v>1000</v>
      </c>
      <c r="O100" s="598">
        <f>SUM(G100+I100+K100+M100)</f>
        <v>228.33</v>
      </c>
    </row>
    <row r="101" spans="1:15" s="477" customFormat="1" ht="51" customHeight="1" x14ac:dyDescent="0.25">
      <c r="A101" s="602"/>
      <c r="B101" s="578" t="s">
        <v>189</v>
      </c>
      <c r="C101" s="595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</row>
    <row r="102" spans="1:15" s="477" customFormat="1" ht="32.25" customHeight="1" x14ac:dyDescent="0.25">
      <c r="A102" s="602"/>
      <c r="B102" s="579" t="s">
        <v>60</v>
      </c>
      <c r="C102" s="595"/>
      <c r="D102" s="583">
        <v>1297.9000000000001</v>
      </c>
      <c r="E102" s="583">
        <v>1297.9000000000001</v>
      </c>
      <c r="F102" s="583">
        <v>0</v>
      </c>
      <c r="G102" s="583">
        <v>0</v>
      </c>
      <c r="H102" s="583">
        <v>0</v>
      </c>
      <c r="I102" s="583">
        <v>0</v>
      </c>
      <c r="J102" s="583">
        <v>1297.9000000000001</v>
      </c>
      <c r="K102" s="583">
        <v>0</v>
      </c>
      <c r="L102" s="583"/>
      <c r="M102" s="583"/>
      <c r="N102" s="598">
        <f>SUM(F102+H102+J102+L102)</f>
        <v>1297.9000000000001</v>
      </c>
      <c r="O102" s="598">
        <f>SUM(G102+I102+K102+M102)</f>
        <v>0</v>
      </c>
    </row>
    <row r="103" spans="1:15" s="477" customFormat="1" ht="32.25" customHeight="1" x14ac:dyDescent="0.25">
      <c r="A103" s="602"/>
      <c r="B103" s="579" t="s">
        <v>190</v>
      </c>
      <c r="C103" s="595"/>
      <c r="D103" s="580"/>
      <c r="E103" s="580"/>
      <c r="F103" s="580"/>
      <c r="G103" s="580"/>
      <c r="H103" s="580"/>
      <c r="I103" s="580"/>
      <c r="J103" s="580"/>
      <c r="K103" s="580"/>
      <c r="L103" s="580"/>
      <c r="M103" s="580"/>
      <c r="N103" s="580"/>
      <c r="O103" s="580"/>
    </row>
    <row r="104" spans="1:15" s="477" customFormat="1" ht="32.25" customHeight="1" x14ac:dyDescent="0.25">
      <c r="A104" s="602"/>
      <c r="B104" s="579" t="s">
        <v>60</v>
      </c>
      <c r="C104" s="595"/>
      <c r="D104" s="583">
        <v>290</v>
      </c>
      <c r="E104" s="583">
        <v>290</v>
      </c>
      <c r="F104" s="583">
        <v>0</v>
      </c>
      <c r="G104" s="583">
        <v>0</v>
      </c>
      <c r="H104" s="583">
        <v>290</v>
      </c>
      <c r="I104" s="583">
        <v>290</v>
      </c>
      <c r="J104" s="583">
        <v>0</v>
      </c>
      <c r="K104" s="583">
        <v>0</v>
      </c>
      <c r="L104" s="583"/>
      <c r="M104" s="583"/>
      <c r="N104" s="598">
        <f>SUM(F104+H104+J104+L104)</f>
        <v>290</v>
      </c>
      <c r="O104" s="598">
        <f>SUM(G104+I104+K104+M104)</f>
        <v>290</v>
      </c>
    </row>
    <row r="105" spans="1:15" s="477" customFormat="1" ht="32.25" customHeight="1" x14ac:dyDescent="0.25">
      <c r="A105" s="602"/>
      <c r="B105" s="578" t="s">
        <v>172</v>
      </c>
      <c r="C105" s="595"/>
      <c r="D105" s="580"/>
      <c r="E105" s="580"/>
      <c r="F105" s="580"/>
      <c r="G105" s="580"/>
      <c r="H105" s="580"/>
      <c r="I105" s="580"/>
      <c r="J105" s="580"/>
      <c r="K105" s="580"/>
      <c r="L105" s="580"/>
      <c r="M105" s="580"/>
      <c r="N105" s="580"/>
      <c r="O105" s="580"/>
    </row>
    <row r="106" spans="1:15" s="477" customFormat="1" ht="32.25" customHeight="1" x14ac:dyDescent="0.25">
      <c r="A106" s="602"/>
      <c r="B106" s="579" t="s">
        <v>60</v>
      </c>
      <c r="C106" s="595"/>
      <c r="D106" s="583">
        <v>792</v>
      </c>
      <c r="E106" s="583">
        <v>792</v>
      </c>
      <c r="F106" s="583">
        <v>0</v>
      </c>
      <c r="G106" s="583">
        <v>0</v>
      </c>
      <c r="H106" s="583">
        <v>400</v>
      </c>
      <c r="I106" s="583">
        <v>178.8</v>
      </c>
      <c r="J106" s="583">
        <v>392</v>
      </c>
      <c r="K106" s="583">
        <v>153.15</v>
      </c>
      <c r="L106" s="583"/>
      <c r="M106" s="583"/>
      <c r="N106" s="598">
        <f>SUM(F106+H106+J106+L106)</f>
        <v>792</v>
      </c>
      <c r="O106" s="598">
        <f>SUM(G106+I106+K106+M106)</f>
        <v>331.95000000000005</v>
      </c>
    </row>
    <row r="107" spans="1:15" s="477" customFormat="1" ht="32.25" customHeight="1" x14ac:dyDescent="0.25">
      <c r="A107" s="602"/>
      <c r="B107" s="578" t="s">
        <v>173</v>
      </c>
      <c r="C107" s="595"/>
      <c r="D107" s="580"/>
      <c r="E107" s="580"/>
      <c r="F107" s="580"/>
      <c r="G107" s="580"/>
      <c r="H107" s="580"/>
      <c r="I107" s="580"/>
      <c r="J107" s="580"/>
      <c r="K107" s="580"/>
      <c r="L107" s="580"/>
      <c r="M107" s="580"/>
      <c r="N107" s="580"/>
      <c r="O107" s="580"/>
    </row>
    <row r="108" spans="1:15" s="477" customFormat="1" ht="32.25" customHeight="1" x14ac:dyDescent="0.25">
      <c r="A108" s="602"/>
      <c r="B108" s="579" t="s">
        <v>60</v>
      </c>
      <c r="C108" s="595"/>
      <c r="D108" s="583">
        <v>743.9</v>
      </c>
      <c r="E108" s="583">
        <v>743.9</v>
      </c>
      <c r="F108" s="583">
        <v>0</v>
      </c>
      <c r="G108" s="583">
        <v>0</v>
      </c>
      <c r="H108" s="583">
        <v>300</v>
      </c>
      <c r="I108" s="583">
        <v>495</v>
      </c>
      <c r="J108" s="583">
        <v>300</v>
      </c>
      <c r="K108" s="583">
        <v>248.85</v>
      </c>
      <c r="L108" s="583">
        <v>143.9</v>
      </c>
      <c r="M108" s="583"/>
      <c r="N108" s="598">
        <f>SUM(F108+H108+J108+L108)</f>
        <v>743.9</v>
      </c>
      <c r="O108" s="598">
        <f>SUM(G108+I108+K108+M108)</f>
        <v>743.85</v>
      </c>
    </row>
    <row r="109" spans="1:15" s="563" customFormat="1" ht="32.25" customHeight="1" x14ac:dyDescent="0.25">
      <c r="A109" s="602"/>
      <c r="B109" s="588" t="s">
        <v>207</v>
      </c>
      <c r="C109" s="595"/>
      <c r="D109" s="583"/>
      <c r="E109" s="583"/>
      <c r="F109" s="583"/>
      <c r="G109" s="583"/>
      <c r="H109" s="583"/>
      <c r="I109" s="583"/>
      <c r="J109" s="583"/>
      <c r="K109" s="583"/>
      <c r="L109" s="583"/>
      <c r="M109" s="583"/>
      <c r="N109" s="598"/>
      <c r="O109" s="598"/>
    </row>
    <row r="110" spans="1:15" s="563" customFormat="1" ht="32.25" customHeight="1" x14ac:dyDescent="0.25">
      <c r="A110" s="602"/>
      <c r="B110" s="589" t="s">
        <v>60</v>
      </c>
      <c r="C110" s="595"/>
      <c r="D110" s="583">
        <v>246.1</v>
      </c>
      <c r="E110" s="583">
        <v>246.1</v>
      </c>
      <c r="F110" s="583">
        <v>0</v>
      </c>
      <c r="G110" s="583">
        <v>0</v>
      </c>
      <c r="H110" s="583">
        <v>0</v>
      </c>
      <c r="I110" s="583">
        <v>0</v>
      </c>
      <c r="J110" s="583">
        <v>0</v>
      </c>
      <c r="K110" s="583">
        <v>0</v>
      </c>
      <c r="L110" s="583">
        <v>246.1</v>
      </c>
      <c r="M110" s="583"/>
      <c r="N110" s="598">
        <f>SUM(F110+H110+J110+L110)</f>
        <v>246.1</v>
      </c>
      <c r="O110" s="598">
        <f>SUM(G110+I110+K110+M110)</f>
        <v>0</v>
      </c>
    </row>
    <row r="111" spans="1:15" s="477" customFormat="1" ht="32.25" customHeight="1" x14ac:dyDescent="0.25">
      <c r="A111" s="602"/>
      <c r="B111" s="578" t="s">
        <v>174</v>
      </c>
      <c r="C111" s="595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99"/>
      <c r="O111" s="600"/>
    </row>
    <row r="112" spans="1:15" s="477" customFormat="1" ht="32.25" customHeight="1" x14ac:dyDescent="0.25">
      <c r="A112" s="602"/>
      <c r="B112" s="579" t="s">
        <v>60</v>
      </c>
      <c r="C112" s="595"/>
      <c r="D112" s="583">
        <v>300</v>
      </c>
      <c r="E112" s="583">
        <v>300</v>
      </c>
      <c r="F112" s="583">
        <v>0</v>
      </c>
      <c r="G112" s="583">
        <v>0</v>
      </c>
      <c r="H112" s="583">
        <v>150</v>
      </c>
      <c r="I112" s="583">
        <v>0</v>
      </c>
      <c r="J112" s="583">
        <v>150</v>
      </c>
      <c r="K112" s="583">
        <v>180.62</v>
      </c>
      <c r="L112" s="583"/>
      <c r="M112" s="583"/>
      <c r="N112" s="598">
        <f>SUM(F112+H112+J112+L112)</f>
        <v>300</v>
      </c>
      <c r="O112" s="598">
        <f>SUM(G112+I112+K112+M112)</f>
        <v>180.62</v>
      </c>
    </row>
    <row r="113" spans="1:16" s="477" customFormat="1" ht="32.25" customHeight="1" x14ac:dyDescent="0.25">
      <c r="A113" s="602"/>
      <c r="B113" s="578" t="s">
        <v>175</v>
      </c>
      <c r="C113" s="595"/>
      <c r="D113" s="580"/>
      <c r="E113" s="580"/>
      <c r="F113" s="580"/>
      <c r="G113" s="580"/>
      <c r="H113" s="580"/>
      <c r="I113" s="580"/>
      <c r="J113" s="580"/>
      <c r="K113" s="580"/>
      <c r="L113" s="580"/>
      <c r="M113" s="580"/>
      <c r="N113" s="580"/>
      <c r="O113" s="580"/>
    </row>
    <row r="114" spans="1:16" s="477" customFormat="1" ht="32.25" customHeight="1" x14ac:dyDescent="0.25">
      <c r="A114" s="602"/>
      <c r="B114" s="579" t="s">
        <v>60</v>
      </c>
      <c r="C114" s="595"/>
      <c r="D114" s="580">
        <v>1440</v>
      </c>
      <c r="E114" s="580">
        <v>1440</v>
      </c>
      <c r="F114" s="580">
        <v>0</v>
      </c>
      <c r="G114" s="580">
        <v>0</v>
      </c>
      <c r="H114" s="580">
        <v>0</v>
      </c>
      <c r="I114" s="580">
        <v>0</v>
      </c>
      <c r="J114" s="580">
        <v>1440</v>
      </c>
      <c r="K114" s="580">
        <v>0</v>
      </c>
      <c r="L114" s="580">
        <v>0</v>
      </c>
      <c r="M114" s="583">
        <v>0</v>
      </c>
      <c r="N114" s="598">
        <f>SUM(F114+H114+J114+L114)</f>
        <v>1440</v>
      </c>
      <c r="O114" s="598">
        <f>SUM(G114+I114+K114+M114)</f>
        <v>0</v>
      </c>
    </row>
    <row r="115" spans="1:16" s="477" customFormat="1" ht="54" customHeight="1" x14ac:dyDescent="0.25">
      <c r="A115" s="602"/>
      <c r="B115" s="578" t="s">
        <v>110</v>
      </c>
      <c r="C115" s="595"/>
      <c r="D115" s="580"/>
      <c r="E115" s="580"/>
      <c r="F115" s="580"/>
      <c r="G115" s="580"/>
      <c r="H115" s="580"/>
      <c r="I115" s="580"/>
      <c r="J115" s="580"/>
      <c r="K115" s="580"/>
      <c r="L115" s="580"/>
      <c r="M115" s="580"/>
      <c r="N115" s="580"/>
      <c r="O115" s="580"/>
    </row>
    <row r="116" spans="1:16" s="477" customFormat="1" ht="32.25" customHeight="1" x14ac:dyDescent="0.25">
      <c r="A116" s="602"/>
      <c r="B116" s="579" t="s">
        <v>60</v>
      </c>
      <c r="C116" s="595"/>
      <c r="D116" s="583">
        <v>200</v>
      </c>
      <c r="E116" s="583">
        <v>200</v>
      </c>
      <c r="F116" s="583">
        <v>0</v>
      </c>
      <c r="G116" s="583">
        <v>0</v>
      </c>
      <c r="H116" s="583">
        <v>200</v>
      </c>
      <c r="I116" s="583">
        <v>0</v>
      </c>
      <c r="J116" s="583">
        <v>0</v>
      </c>
      <c r="K116" s="583">
        <v>200</v>
      </c>
      <c r="L116" s="583"/>
      <c r="M116" s="583"/>
      <c r="N116" s="598">
        <f>SUM(F116+H116+J116+L116)</f>
        <v>200</v>
      </c>
      <c r="O116" s="598">
        <f>SUM(G116+I116+K116+M116)</f>
        <v>200</v>
      </c>
    </row>
    <row r="117" spans="1:16" s="477" customFormat="1" ht="55.5" customHeight="1" x14ac:dyDescent="0.25">
      <c r="A117" s="602"/>
      <c r="B117" s="578" t="s">
        <v>111</v>
      </c>
      <c r="C117" s="595"/>
      <c r="D117" s="580"/>
      <c r="E117" s="580"/>
      <c r="F117" s="580"/>
      <c r="G117" s="580"/>
      <c r="H117" s="580"/>
      <c r="I117" s="580"/>
      <c r="J117" s="580"/>
      <c r="K117" s="580"/>
      <c r="L117" s="580"/>
      <c r="M117" s="580"/>
      <c r="N117" s="580"/>
      <c r="O117" s="580"/>
    </row>
    <row r="118" spans="1:16" s="477" customFormat="1" ht="23.25" customHeight="1" x14ac:dyDescent="0.25">
      <c r="A118" s="602"/>
      <c r="B118" s="579" t="s">
        <v>60</v>
      </c>
      <c r="C118" s="595"/>
      <c r="D118" s="583">
        <v>497.4</v>
      </c>
      <c r="E118" s="583">
        <v>497.4</v>
      </c>
      <c r="F118" s="583">
        <v>0</v>
      </c>
      <c r="G118" s="583">
        <v>0</v>
      </c>
      <c r="H118" s="583">
        <v>497.4</v>
      </c>
      <c r="I118" s="583">
        <v>165.7</v>
      </c>
      <c r="J118" s="583">
        <v>0</v>
      </c>
      <c r="K118" s="583">
        <v>331.7</v>
      </c>
      <c r="L118" s="583"/>
      <c r="M118" s="583"/>
      <c r="N118" s="598">
        <f>SUM(F118+H118+J118+L118)</f>
        <v>497.4</v>
      </c>
      <c r="O118" s="598">
        <f>SUM(G118+I118+K118+M118)</f>
        <v>497.4</v>
      </c>
    </row>
    <row r="119" spans="1:16" s="477" customFormat="1" ht="51.75" customHeight="1" x14ac:dyDescent="0.25">
      <c r="A119" s="602"/>
      <c r="B119" s="578" t="s">
        <v>112</v>
      </c>
      <c r="C119" s="595"/>
      <c r="D119" s="580"/>
      <c r="E119" s="580"/>
      <c r="F119" s="580"/>
      <c r="G119" s="580"/>
      <c r="H119" s="580"/>
      <c r="I119" s="580"/>
      <c r="J119" s="580"/>
      <c r="K119" s="580"/>
      <c r="L119" s="580"/>
      <c r="M119" s="580"/>
      <c r="N119" s="580"/>
      <c r="O119" s="580"/>
    </row>
    <row r="120" spans="1:16" s="477" customFormat="1" ht="32.25" customHeight="1" x14ac:dyDescent="0.25">
      <c r="A120" s="602"/>
      <c r="B120" s="579" t="s">
        <v>60</v>
      </c>
      <c r="C120" s="595"/>
      <c r="D120" s="583">
        <v>3278.2</v>
      </c>
      <c r="E120" s="583">
        <v>3278.2</v>
      </c>
      <c r="F120" s="583">
        <v>0</v>
      </c>
      <c r="G120" s="583">
        <v>0</v>
      </c>
      <c r="H120" s="583">
        <v>1680</v>
      </c>
      <c r="I120" s="583">
        <v>1464.16</v>
      </c>
      <c r="J120" s="583">
        <v>0</v>
      </c>
      <c r="K120" s="583">
        <v>0</v>
      </c>
      <c r="L120" s="583">
        <v>1598.2</v>
      </c>
      <c r="M120" s="583">
        <v>0</v>
      </c>
      <c r="N120" s="598">
        <f>SUM(F120+H120+J120+L120)</f>
        <v>3278.2</v>
      </c>
      <c r="O120" s="598">
        <f>SUM(G120+I120+K120+M120)</f>
        <v>1464.16</v>
      </c>
    </row>
    <row r="121" spans="1:16" s="477" customFormat="1" ht="32.25" customHeight="1" x14ac:dyDescent="0.25">
      <c r="A121" s="602"/>
      <c r="B121" s="579" t="s">
        <v>113</v>
      </c>
      <c r="C121" s="595"/>
      <c r="D121" s="580"/>
      <c r="E121" s="580"/>
      <c r="F121" s="580"/>
      <c r="G121" s="580"/>
      <c r="H121" s="580"/>
      <c r="I121" s="580"/>
      <c r="J121" s="580"/>
      <c r="K121" s="580"/>
      <c r="L121" s="580"/>
      <c r="M121" s="580"/>
      <c r="N121" s="580"/>
      <c r="O121" s="580"/>
    </row>
    <row r="122" spans="1:16" s="477" customFormat="1" ht="21.75" customHeight="1" x14ac:dyDescent="0.25">
      <c r="A122" s="602"/>
      <c r="B122" s="579" t="s">
        <v>60</v>
      </c>
      <c r="C122" s="595"/>
      <c r="D122" s="583">
        <v>1243</v>
      </c>
      <c r="E122" s="583">
        <v>1243</v>
      </c>
      <c r="F122" s="583">
        <v>500</v>
      </c>
      <c r="G122" s="583">
        <v>483</v>
      </c>
      <c r="H122" s="583">
        <v>743</v>
      </c>
      <c r="I122" s="583">
        <v>300</v>
      </c>
      <c r="J122" s="583">
        <v>0</v>
      </c>
      <c r="K122" s="583">
        <v>0</v>
      </c>
      <c r="L122" s="583">
        <v>0</v>
      </c>
      <c r="M122" s="583">
        <v>0</v>
      </c>
      <c r="N122" s="598">
        <f>SUM(F122+H122+J122+L122)</f>
        <v>1243</v>
      </c>
      <c r="O122" s="598">
        <f>SUM(G122+I122+K122+M122)</f>
        <v>783</v>
      </c>
    </row>
    <row r="123" spans="1:16" s="171" customFormat="1" ht="27.75" customHeight="1" x14ac:dyDescent="0.25">
      <c r="A123" s="602"/>
      <c r="B123" s="579" t="s">
        <v>141</v>
      </c>
      <c r="C123" s="595"/>
      <c r="D123" s="580"/>
      <c r="E123" s="580"/>
      <c r="F123" s="580"/>
      <c r="G123" s="580"/>
      <c r="H123" s="580"/>
      <c r="I123" s="580"/>
      <c r="J123" s="580"/>
      <c r="K123" s="580"/>
      <c r="L123" s="580"/>
      <c r="M123" s="580"/>
      <c r="N123" s="580"/>
      <c r="O123" s="580"/>
      <c r="P123" s="220"/>
    </row>
    <row r="124" spans="1:16" s="171" customFormat="1" ht="26.25" customHeight="1" x14ac:dyDescent="0.25">
      <c r="A124" s="602"/>
      <c r="B124" s="579" t="s">
        <v>60</v>
      </c>
      <c r="C124" s="595"/>
      <c r="D124" s="583">
        <v>700</v>
      </c>
      <c r="E124" s="583">
        <v>700</v>
      </c>
      <c r="F124" s="583">
        <v>0</v>
      </c>
      <c r="G124" s="583">
        <v>0</v>
      </c>
      <c r="H124" s="583">
        <v>700</v>
      </c>
      <c r="I124" s="583">
        <v>315</v>
      </c>
      <c r="J124" s="583">
        <v>0</v>
      </c>
      <c r="K124" s="583">
        <v>346.4</v>
      </c>
      <c r="L124" s="583">
        <v>0</v>
      </c>
      <c r="M124" s="583">
        <v>0</v>
      </c>
      <c r="N124" s="598">
        <f>SUM(F124+H124+J124+L124)</f>
        <v>700</v>
      </c>
      <c r="O124" s="598">
        <f>SUM(G124+I124+K124+M124)</f>
        <v>661.4</v>
      </c>
      <c r="P124" s="220"/>
    </row>
    <row r="125" spans="1:16" s="171" customFormat="1" ht="51.75" customHeight="1" x14ac:dyDescent="0.25">
      <c r="A125" s="602"/>
      <c r="B125" s="578" t="s">
        <v>114</v>
      </c>
      <c r="C125" s="595"/>
      <c r="D125" s="580"/>
      <c r="E125" s="580"/>
      <c r="F125" s="580"/>
      <c r="G125" s="580"/>
      <c r="H125" s="580"/>
      <c r="I125" s="580"/>
      <c r="J125" s="580"/>
      <c r="K125" s="580"/>
      <c r="L125" s="580"/>
      <c r="M125" s="580"/>
      <c r="N125" s="580"/>
      <c r="O125" s="580"/>
      <c r="P125" s="220"/>
    </row>
    <row r="126" spans="1:16" s="171" customFormat="1" ht="21.75" customHeight="1" x14ac:dyDescent="0.25">
      <c r="A126" s="602"/>
      <c r="B126" s="579" t="s">
        <v>60</v>
      </c>
      <c r="C126" s="595"/>
      <c r="D126" s="583">
        <v>350</v>
      </c>
      <c r="E126" s="583">
        <v>350</v>
      </c>
      <c r="F126" s="583">
        <v>0</v>
      </c>
      <c r="G126" s="583">
        <v>0</v>
      </c>
      <c r="H126" s="583">
        <v>350</v>
      </c>
      <c r="I126" s="583">
        <v>5.5</v>
      </c>
      <c r="J126" s="583">
        <v>0</v>
      </c>
      <c r="K126" s="583">
        <v>55.9</v>
      </c>
      <c r="L126" s="583">
        <v>0</v>
      </c>
      <c r="M126" s="583">
        <v>0</v>
      </c>
      <c r="N126" s="598">
        <f>SUM(F126+H126+J126+L126)</f>
        <v>350</v>
      </c>
      <c r="O126" s="598">
        <f>SUM(G126+I126+K126+M126)</f>
        <v>61.4</v>
      </c>
      <c r="P126" s="220"/>
    </row>
    <row r="127" spans="1:16" s="171" customFormat="1" ht="37.5" customHeight="1" x14ac:dyDescent="0.25">
      <c r="A127" s="602"/>
      <c r="B127" s="578" t="s">
        <v>115</v>
      </c>
      <c r="C127" s="595"/>
      <c r="D127" s="580"/>
      <c r="E127" s="580"/>
      <c r="F127" s="580"/>
      <c r="G127" s="580"/>
      <c r="H127" s="580"/>
      <c r="I127" s="580"/>
      <c r="J127" s="580"/>
      <c r="K127" s="580"/>
      <c r="L127" s="580"/>
      <c r="M127" s="580"/>
      <c r="N127" s="580"/>
      <c r="O127" s="580"/>
      <c r="P127" s="220"/>
    </row>
    <row r="128" spans="1:16" s="171" customFormat="1" ht="30" customHeight="1" x14ac:dyDescent="0.25">
      <c r="A128" s="602"/>
      <c r="B128" s="579" t="s">
        <v>60</v>
      </c>
      <c r="C128" s="595"/>
      <c r="D128" s="583">
        <v>950</v>
      </c>
      <c r="E128" s="583">
        <v>950</v>
      </c>
      <c r="F128" s="583">
        <v>0</v>
      </c>
      <c r="G128" s="583">
        <v>0</v>
      </c>
      <c r="H128" s="583">
        <v>300</v>
      </c>
      <c r="I128" s="583">
        <v>249.5</v>
      </c>
      <c r="J128" s="583">
        <v>650</v>
      </c>
      <c r="K128" s="583">
        <v>697.7</v>
      </c>
      <c r="L128" s="583">
        <v>0</v>
      </c>
      <c r="M128" s="583">
        <v>0</v>
      </c>
      <c r="N128" s="598">
        <f>SUM(F128+H128+J128+L128)</f>
        <v>950</v>
      </c>
      <c r="O128" s="598">
        <f>SUM(G128+I128+K128+M128)</f>
        <v>947.2</v>
      </c>
      <c r="P128" s="220"/>
    </row>
    <row r="129" spans="1:16" s="171" customFormat="1" ht="72.75" customHeight="1" x14ac:dyDescent="0.25">
      <c r="A129" s="602"/>
      <c r="B129" s="578" t="s">
        <v>116</v>
      </c>
      <c r="C129" s="595"/>
      <c r="D129" s="580"/>
      <c r="E129" s="580"/>
      <c r="F129" s="580"/>
      <c r="G129" s="580"/>
      <c r="H129" s="580"/>
      <c r="I129" s="580"/>
      <c r="J129" s="580"/>
      <c r="K129" s="580"/>
      <c r="L129" s="580"/>
      <c r="M129" s="580"/>
      <c r="N129" s="599"/>
      <c r="O129" s="600"/>
      <c r="P129" s="220"/>
    </row>
    <row r="130" spans="1:16" s="171" customFormat="1" ht="25.5" customHeight="1" x14ac:dyDescent="0.25">
      <c r="A130" s="602"/>
      <c r="B130" s="579" t="s">
        <v>60</v>
      </c>
      <c r="C130" s="595"/>
      <c r="D130" s="580">
        <v>650</v>
      </c>
      <c r="E130" s="580">
        <v>650</v>
      </c>
      <c r="F130" s="580">
        <v>0</v>
      </c>
      <c r="G130" s="580">
        <v>0</v>
      </c>
      <c r="H130" s="580">
        <v>150</v>
      </c>
      <c r="I130" s="580">
        <v>134.1</v>
      </c>
      <c r="J130" s="580">
        <v>500</v>
      </c>
      <c r="K130" s="580">
        <v>0</v>
      </c>
      <c r="L130" s="580">
        <v>0</v>
      </c>
      <c r="M130" s="583">
        <v>0</v>
      </c>
      <c r="N130" s="598">
        <f>SUM(F130+H130+J130+L130)</f>
        <v>650</v>
      </c>
      <c r="O130" s="598">
        <f>SUM(G130+I130+K130+M130)</f>
        <v>134.1</v>
      </c>
      <c r="P130" s="220"/>
    </row>
    <row r="131" spans="1:16" s="171" customFormat="1" ht="46.5" customHeight="1" x14ac:dyDescent="0.25">
      <c r="A131" s="602"/>
      <c r="B131" s="578" t="s">
        <v>176</v>
      </c>
      <c r="C131" s="595"/>
      <c r="D131" s="580"/>
      <c r="E131" s="580"/>
      <c r="F131" s="580"/>
      <c r="G131" s="580"/>
      <c r="H131" s="580"/>
      <c r="I131" s="580"/>
      <c r="J131" s="580"/>
      <c r="K131" s="580"/>
      <c r="L131" s="580"/>
      <c r="M131" s="580"/>
      <c r="N131" s="599"/>
      <c r="O131" s="600"/>
      <c r="P131" s="220"/>
    </row>
    <row r="132" spans="1:16" s="171" customFormat="1" ht="23.25" customHeight="1" x14ac:dyDescent="0.25">
      <c r="A132" s="602"/>
      <c r="B132" s="579" t="s">
        <v>60</v>
      </c>
      <c r="C132" s="595"/>
      <c r="D132" s="580">
        <v>141</v>
      </c>
      <c r="E132" s="580">
        <v>141</v>
      </c>
      <c r="F132" s="580">
        <v>0</v>
      </c>
      <c r="G132" s="580">
        <v>0</v>
      </c>
      <c r="H132" s="580">
        <v>141</v>
      </c>
      <c r="I132" s="580">
        <v>0</v>
      </c>
      <c r="J132" s="580">
        <v>0</v>
      </c>
      <c r="K132" s="580">
        <v>0</v>
      </c>
      <c r="L132" s="580">
        <v>0</v>
      </c>
      <c r="M132" s="583">
        <v>0</v>
      </c>
      <c r="N132" s="598">
        <f>SUM(F132+H132+J132+L132)</f>
        <v>141</v>
      </c>
      <c r="O132" s="598">
        <f>SUM(G132+I132+K132+M132)</f>
        <v>0</v>
      </c>
      <c r="P132" s="220"/>
    </row>
    <row r="133" spans="1:16" s="171" customFormat="1" ht="26.25" customHeight="1" x14ac:dyDescent="0.25">
      <c r="A133" s="602"/>
      <c r="B133" s="578" t="s">
        <v>177</v>
      </c>
      <c r="C133" s="595"/>
      <c r="D133" s="580"/>
      <c r="E133" s="580"/>
      <c r="F133" s="580"/>
      <c r="G133" s="580"/>
      <c r="H133" s="580"/>
      <c r="I133" s="580"/>
      <c r="J133" s="580"/>
      <c r="K133" s="580"/>
      <c r="L133" s="580"/>
      <c r="M133" s="580"/>
      <c r="N133" s="580"/>
      <c r="O133" s="580"/>
      <c r="P133" s="220"/>
    </row>
    <row r="134" spans="1:16" s="171" customFormat="1" ht="21.75" customHeight="1" x14ac:dyDescent="0.25">
      <c r="A134" s="602"/>
      <c r="B134" s="579" t="s">
        <v>60</v>
      </c>
      <c r="C134" s="595"/>
      <c r="D134" s="580">
        <v>94.2</v>
      </c>
      <c r="E134" s="580">
        <v>94.2</v>
      </c>
      <c r="F134" s="580">
        <v>0</v>
      </c>
      <c r="G134" s="580">
        <v>0</v>
      </c>
      <c r="H134" s="580">
        <v>94.2</v>
      </c>
      <c r="I134" s="580">
        <v>94.2</v>
      </c>
      <c r="J134" s="580">
        <v>0</v>
      </c>
      <c r="K134" s="580">
        <v>0</v>
      </c>
      <c r="L134" s="580">
        <v>0</v>
      </c>
      <c r="M134" s="583">
        <v>0</v>
      </c>
      <c r="N134" s="598">
        <f>SUM(F134+H134+J134+L134)</f>
        <v>94.2</v>
      </c>
      <c r="O134" s="598">
        <f>SUM(G134+I134+K134+M134)</f>
        <v>94.2</v>
      </c>
      <c r="P134" s="220"/>
    </row>
    <row r="135" spans="1:16" s="171" customFormat="1" ht="29.25" customHeight="1" x14ac:dyDescent="0.25">
      <c r="A135" s="602"/>
      <c r="B135" s="579" t="s">
        <v>191</v>
      </c>
      <c r="C135" s="595"/>
      <c r="D135" s="580"/>
      <c r="E135" s="580"/>
      <c r="F135" s="580"/>
      <c r="G135" s="580"/>
      <c r="H135" s="580"/>
      <c r="I135" s="580"/>
      <c r="J135" s="580"/>
      <c r="K135" s="580"/>
      <c r="L135" s="580"/>
      <c r="M135" s="580"/>
      <c r="N135" s="580"/>
      <c r="O135" s="580"/>
      <c r="P135" s="220"/>
    </row>
    <row r="136" spans="1:16" s="171" customFormat="1" ht="24" customHeight="1" x14ac:dyDescent="0.25">
      <c r="A136" s="602"/>
      <c r="B136" s="579" t="s">
        <v>60</v>
      </c>
      <c r="C136" s="595"/>
      <c r="D136" s="580">
        <v>70</v>
      </c>
      <c r="E136" s="580">
        <v>70</v>
      </c>
      <c r="F136" s="580">
        <v>0</v>
      </c>
      <c r="G136" s="580">
        <v>0</v>
      </c>
      <c r="H136" s="580">
        <v>0</v>
      </c>
      <c r="I136" s="580">
        <v>0</v>
      </c>
      <c r="J136" s="580">
        <v>70</v>
      </c>
      <c r="K136" s="580">
        <v>0</v>
      </c>
      <c r="L136" s="580">
        <v>0</v>
      </c>
      <c r="M136" s="583">
        <v>0</v>
      </c>
      <c r="N136" s="598">
        <f>SUM(F136+H136+J136+L136)</f>
        <v>70</v>
      </c>
      <c r="O136" s="598">
        <f>SUM(G136+I136+K136+M136)</f>
        <v>0</v>
      </c>
      <c r="P136" s="220"/>
    </row>
    <row r="137" spans="1:16" s="524" customFormat="1" ht="24" customHeight="1" x14ac:dyDescent="0.25">
      <c r="A137" s="602"/>
      <c r="B137" s="578" t="s">
        <v>178</v>
      </c>
      <c r="C137" s="595"/>
      <c r="D137" s="580"/>
      <c r="E137" s="580"/>
      <c r="F137" s="580"/>
      <c r="G137" s="580"/>
      <c r="H137" s="580"/>
      <c r="I137" s="580"/>
      <c r="J137" s="580"/>
      <c r="K137" s="580"/>
      <c r="L137" s="580"/>
      <c r="M137" s="583"/>
      <c r="N137" s="599"/>
      <c r="O137" s="600"/>
      <c r="P137" s="220"/>
    </row>
    <row r="138" spans="1:16" s="524" customFormat="1" ht="24" customHeight="1" x14ac:dyDescent="0.25">
      <c r="A138" s="602"/>
      <c r="B138" s="579" t="s">
        <v>60</v>
      </c>
      <c r="C138" s="595"/>
      <c r="D138" s="580">
        <v>96.8</v>
      </c>
      <c r="E138" s="580">
        <v>96.8</v>
      </c>
      <c r="F138" s="580">
        <v>96.8</v>
      </c>
      <c r="G138" s="580">
        <v>58.75</v>
      </c>
      <c r="H138" s="580">
        <v>0</v>
      </c>
      <c r="I138" s="580">
        <v>38</v>
      </c>
      <c r="J138" s="580">
        <v>0</v>
      </c>
      <c r="K138" s="580">
        <v>0</v>
      </c>
      <c r="L138" s="580">
        <v>0</v>
      </c>
      <c r="M138" s="583">
        <v>0</v>
      </c>
      <c r="N138" s="598">
        <f>SUM(F138+H138+J138+L138)</f>
        <v>96.8</v>
      </c>
      <c r="O138" s="598">
        <f>SUM(G138+I138+K138+M138)</f>
        <v>96.75</v>
      </c>
      <c r="P138" s="220"/>
    </row>
    <row r="139" spans="1:16" s="171" customFormat="1" ht="30.75" customHeight="1" x14ac:dyDescent="0.25">
      <c r="A139" s="602"/>
      <c r="B139" s="578" t="s">
        <v>117</v>
      </c>
      <c r="C139" s="595"/>
      <c r="D139" s="580"/>
      <c r="E139" s="580"/>
      <c r="F139" s="580"/>
      <c r="G139" s="580"/>
      <c r="H139" s="580"/>
      <c r="I139" s="580"/>
      <c r="J139" s="580"/>
      <c r="K139" s="580"/>
      <c r="L139" s="580"/>
      <c r="M139" s="580"/>
      <c r="N139" s="580"/>
      <c r="O139" s="580"/>
      <c r="P139" s="220"/>
    </row>
    <row r="140" spans="1:16" s="171" customFormat="1" ht="25.5" customHeight="1" x14ac:dyDescent="0.25">
      <c r="A140" s="602"/>
      <c r="B140" s="579" t="s">
        <v>60</v>
      </c>
      <c r="C140" s="595"/>
      <c r="D140" s="580">
        <v>285.5</v>
      </c>
      <c r="E140" s="580">
        <v>285.5</v>
      </c>
      <c r="F140" s="580">
        <v>0</v>
      </c>
      <c r="G140" s="580">
        <v>0</v>
      </c>
      <c r="H140" s="580">
        <v>285.5</v>
      </c>
      <c r="I140" s="580">
        <v>285.42</v>
      </c>
      <c r="J140" s="580">
        <v>0</v>
      </c>
      <c r="K140" s="580">
        <v>0</v>
      </c>
      <c r="L140" s="580">
        <v>0</v>
      </c>
      <c r="M140" s="583">
        <v>0</v>
      </c>
      <c r="N140" s="598">
        <f>SUM(F140+H140+J140+L140)</f>
        <v>285.5</v>
      </c>
      <c r="O140" s="598">
        <f>SUM(G140+I140+K140+M140)</f>
        <v>285.42</v>
      </c>
      <c r="P140" s="220"/>
    </row>
    <row r="141" spans="1:16" s="1" customFormat="1" ht="40.5" customHeight="1" x14ac:dyDescent="0.2">
      <c r="A141" s="94" t="s">
        <v>12</v>
      </c>
      <c r="B141" s="36"/>
      <c r="C141" s="36"/>
      <c r="D141" s="7">
        <f t="shared" ref="D141:L141" si="35">SUM(D140+D136+D134+D132+D130+D128+D126+D124+D122+D120+D118+D116+D114+D112+D108+D106+D104+D102+D100+D98+D96+D94+D92+D90+D88+D86+D84+D138+D110)</f>
        <v>47139.199999999997</v>
      </c>
      <c r="E141" s="564">
        <f t="shared" si="35"/>
        <v>47139.199999999997</v>
      </c>
      <c r="F141" s="564">
        <f t="shared" si="35"/>
        <v>7513.5999999999995</v>
      </c>
      <c r="G141" s="564">
        <f t="shared" si="35"/>
        <v>3917.45</v>
      </c>
      <c r="H141" s="564">
        <f t="shared" si="35"/>
        <v>17744.3</v>
      </c>
      <c r="I141" s="564">
        <f t="shared" si="35"/>
        <v>13318.93</v>
      </c>
      <c r="J141" s="564">
        <f t="shared" si="35"/>
        <v>14809.9</v>
      </c>
      <c r="K141" s="564">
        <f t="shared" si="35"/>
        <v>5681.53</v>
      </c>
      <c r="L141" s="564">
        <f t="shared" si="35"/>
        <v>7071.4</v>
      </c>
      <c r="M141" s="521">
        <f t="shared" ref="M141" si="36">SUM(M140+M136+M134+M132+M130+M128+M126+M124+M122+M120+M118+M116+M114+M112+M108+M106+M104+M102+M100+M98+M96+M94+M92+M90+M88+M86+M84+M138)</f>
        <v>0</v>
      </c>
      <c r="N141" s="564">
        <f>SUM(N140+N136+N134+N132+N130+N128+N126+N124+N122+N120+N118+N116+N114+N112+N108+N106+N104+N102+N100+N98+N96+N94+N92+N90+N88+N86+N84+N138+N110)</f>
        <v>47139.199999999997</v>
      </c>
      <c r="O141" s="564">
        <f>SUM(O140+O136+O134+O132+O130+O128+O126+O124+O122+O120+O118+O116+O114+O112+O108+O106+O104+O102+O100+O98+O96+O94+O92+O90+O88+O86+O84+O138+O110)</f>
        <v>22917.91</v>
      </c>
    </row>
    <row r="142" spans="1:16" s="1" customFormat="1" ht="24" customHeight="1" x14ac:dyDescent="0.2">
      <c r="A142" s="97"/>
      <c r="B142" s="22" t="s">
        <v>59</v>
      </c>
      <c r="C142" s="2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6" s="1" customFormat="1" ht="32.25" customHeight="1" x14ac:dyDescent="0.2">
      <c r="A143" s="97"/>
      <c r="B143" s="22" t="s">
        <v>60</v>
      </c>
      <c r="C143" s="22"/>
      <c r="D143" s="7">
        <f t="shared" ref="D143:O143" si="37">SUM(D141)</f>
        <v>47139.199999999997</v>
      </c>
      <c r="E143" s="521">
        <f t="shared" si="37"/>
        <v>47139.199999999997</v>
      </c>
      <c r="F143" s="521">
        <f t="shared" si="37"/>
        <v>7513.5999999999995</v>
      </c>
      <c r="G143" s="521">
        <f t="shared" si="37"/>
        <v>3917.45</v>
      </c>
      <c r="H143" s="521">
        <f t="shared" si="37"/>
        <v>17744.3</v>
      </c>
      <c r="I143" s="521">
        <f t="shared" si="37"/>
        <v>13318.93</v>
      </c>
      <c r="J143" s="521">
        <f t="shared" si="37"/>
        <v>14809.9</v>
      </c>
      <c r="K143" s="521">
        <f t="shared" si="37"/>
        <v>5681.53</v>
      </c>
      <c r="L143" s="521">
        <f t="shared" si="37"/>
        <v>7071.4</v>
      </c>
      <c r="M143" s="521">
        <f t="shared" si="37"/>
        <v>0</v>
      </c>
      <c r="N143" s="521">
        <f t="shared" si="37"/>
        <v>47139.199999999997</v>
      </c>
      <c r="O143" s="521">
        <f t="shared" si="37"/>
        <v>22917.91</v>
      </c>
    </row>
    <row r="144" spans="1:16" s="1" customFormat="1" ht="32.25" customHeight="1" x14ac:dyDescent="0.2">
      <c r="A144" s="95"/>
      <c r="B144" s="80" t="s">
        <v>61</v>
      </c>
      <c r="C144" s="310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s="481" customFormat="1" ht="32.25" customHeight="1" x14ac:dyDescent="0.2">
      <c r="A145" s="604" t="s">
        <v>118</v>
      </c>
      <c r="B145" s="482" t="s">
        <v>204</v>
      </c>
      <c r="C145" s="690"/>
      <c r="D145" s="483"/>
      <c r="E145" s="483"/>
      <c r="F145" s="483"/>
      <c r="G145" s="483"/>
      <c r="H145" s="483"/>
      <c r="I145" s="483"/>
      <c r="J145" s="483"/>
      <c r="K145" s="483"/>
      <c r="L145" s="483"/>
      <c r="M145" s="483"/>
      <c r="N145" s="518"/>
      <c r="O145" s="518"/>
    </row>
    <row r="146" spans="1:15" s="481" customFormat="1" ht="21.75" customHeight="1" x14ac:dyDescent="0.25">
      <c r="A146" s="612"/>
      <c r="B146" s="484" t="s">
        <v>60</v>
      </c>
      <c r="C146" s="691"/>
      <c r="D146" s="483">
        <v>43375.75</v>
      </c>
      <c r="E146" s="483">
        <v>43375.75</v>
      </c>
      <c r="F146" s="483">
        <v>500</v>
      </c>
      <c r="G146" s="483">
        <v>475</v>
      </c>
      <c r="H146" s="483">
        <v>1500</v>
      </c>
      <c r="I146" s="483">
        <v>0</v>
      </c>
      <c r="J146" s="483">
        <v>0</v>
      </c>
      <c r="K146" s="483">
        <v>3895.1</v>
      </c>
      <c r="L146" s="483">
        <v>41375.75</v>
      </c>
      <c r="M146" s="483">
        <v>0</v>
      </c>
      <c r="N146" s="330">
        <v>43375.75</v>
      </c>
      <c r="O146" s="331">
        <f>SUM(G146+I146+K146)</f>
        <v>4370.1000000000004</v>
      </c>
    </row>
    <row r="147" spans="1:15" s="1" customFormat="1" ht="48.75" customHeight="1" x14ac:dyDescent="0.2">
      <c r="A147" s="612"/>
      <c r="B147" s="482" t="s">
        <v>205</v>
      </c>
      <c r="C147" s="691"/>
      <c r="D147" s="483"/>
      <c r="E147" s="483"/>
      <c r="F147" s="483"/>
      <c r="G147" s="483"/>
      <c r="H147" s="483"/>
      <c r="I147" s="483"/>
      <c r="J147" s="483"/>
      <c r="K147" s="483"/>
      <c r="L147" s="483"/>
      <c r="M147" s="483"/>
      <c r="N147" s="518"/>
      <c r="O147" s="518"/>
    </row>
    <row r="148" spans="1:15" s="1" customFormat="1" ht="32.25" customHeight="1" thickBot="1" x14ac:dyDescent="0.3">
      <c r="A148" s="613"/>
      <c r="B148" s="484" t="s">
        <v>60</v>
      </c>
      <c r="C148" s="692"/>
      <c r="D148" s="485">
        <v>585.79999999999995</v>
      </c>
      <c r="E148" s="485">
        <v>585.79999999999995</v>
      </c>
      <c r="F148" s="483">
        <v>0</v>
      </c>
      <c r="G148" s="483">
        <v>0</v>
      </c>
      <c r="H148" s="483">
        <v>0</v>
      </c>
      <c r="I148" s="483">
        <v>0</v>
      </c>
      <c r="J148" s="485">
        <v>585.79999999999995</v>
      </c>
      <c r="K148" s="483">
        <v>0</v>
      </c>
      <c r="L148" s="483">
        <v>0</v>
      </c>
      <c r="M148" s="483">
        <v>0</v>
      </c>
      <c r="N148" s="485">
        <v>585.79999999999995</v>
      </c>
      <c r="O148" s="331">
        <v>0</v>
      </c>
    </row>
    <row r="149" spans="1:15" s="1" customFormat="1" ht="32.25" customHeight="1" x14ac:dyDescent="0.2">
      <c r="A149" s="325" t="s">
        <v>12</v>
      </c>
      <c r="B149" s="333"/>
      <c r="C149" s="334"/>
      <c r="D149" s="486">
        <f t="shared" ref="D149:L149" si="38">SUM(D146+D148)</f>
        <v>43961.55</v>
      </c>
      <c r="E149" s="486">
        <f t="shared" si="38"/>
        <v>43961.55</v>
      </c>
      <c r="F149" s="486">
        <f t="shared" si="38"/>
        <v>500</v>
      </c>
      <c r="G149" s="486">
        <f t="shared" si="38"/>
        <v>475</v>
      </c>
      <c r="H149" s="486">
        <f t="shared" si="38"/>
        <v>1500</v>
      </c>
      <c r="I149" s="486">
        <f t="shared" si="38"/>
        <v>0</v>
      </c>
      <c r="J149" s="486">
        <f t="shared" si="38"/>
        <v>585.79999999999995</v>
      </c>
      <c r="K149" s="486">
        <f t="shared" si="38"/>
        <v>3895.1</v>
      </c>
      <c r="L149" s="486">
        <f t="shared" si="38"/>
        <v>41375.75</v>
      </c>
      <c r="M149" s="486">
        <v>0</v>
      </c>
      <c r="N149" s="486">
        <f>SUM(N146+N148)</f>
        <v>43961.55</v>
      </c>
      <c r="O149" s="486">
        <f>SUM(O146+O148)</f>
        <v>4370.1000000000004</v>
      </c>
    </row>
    <row r="150" spans="1:15" s="1" customFormat="1" ht="21.75" customHeight="1" x14ac:dyDescent="0.2">
      <c r="A150" s="326"/>
      <c r="B150" s="335" t="s">
        <v>59</v>
      </c>
      <c r="C150" s="334"/>
      <c r="D150" s="486"/>
      <c r="E150" s="486"/>
      <c r="F150" s="486"/>
      <c r="G150" s="486"/>
      <c r="H150" s="486"/>
      <c r="I150" s="486"/>
      <c r="J150" s="486"/>
      <c r="K150" s="486"/>
      <c r="L150" s="486"/>
      <c r="M150" s="486"/>
      <c r="N150" s="486"/>
      <c r="O150" s="486"/>
    </row>
    <row r="151" spans="1:15" s="1" customFormat="1" ht="32.25" customHeight="1" x14ac:dyDescent="0.2">
      <c r="A151" s="326"/>
      <c r="B151" s="336" t="s">
        <v>60</v>
      </c>
      <c r="C151" s="334"/>
      <c r="D151" s="486">
        <f>SUM(D146+D148)</f>
        <v>43961.55</v>
      </c>
      <c r="E151" s="486">
        <f>SUM(E146+E148)</f>
        <v>43961.55</v>
      </c>
      <c r="F151" s="486">
        <f>SUM(F146+F148)</f>
        <v>500</v>
      </c>
      <c r="G151" s="486">
        <f>SUM(G146+G148)</f>
        <v>475</v>
      </c>
      <c r="H151" s="486">
        <f>SUM(H146+H148)</f>
        <v>1500</v>
      </c>
      <c r="I151" s="486">
        <v>0</v>
      </c>
      <c r="J151" s="486">
        <f>SUM(J146+J148)</f>
        <v>585.79999999999995</v>
      </c>
      <c r="K151" s="486">
        <f>SUM(K146+K148)</f>
        <v>3895.1</v>
      </c>
      <c r="L151" s="486">
        <f>SUM(L146+L148)</f>
        <v>41375.75</v>
      </c>
      <c r="M151" s="486">
        <v>0</v>
      </c>
      <c r="N151" s="486">
        <f>SUM(N146+N148)</f>
        <v>43961.55</v>
      </c>
      <c r="O151" s="486">
        <f>SUM(O146+O148)</f>
        <v>4370.1000000000004</v>
      </c>
    </row>
    <row r="152" spans="1:15" s="1" customFormat="1" ht="32.25" customHeight="1" x14ac:dyDescent="0.2">
      <c r="A152" s="326"/>
      <c r="B152" s="337" t="s">
        <v>61</v>
      </c>
      <c r="C152" s="337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s="1" customFormat="1" ht="87" customHeight="1" x14ac:dyDescent="0.2">
      <c r="A153" s="360" t="s">
        <v>77</v>
      </c>
      <c r="B153" s="57"/>
      <c r="C153" s="57"/>
      <c r="D153" s="13">
        <v>119182.7</v>
      </c>
      <c r="E153" s="523">
        <v>119182.7</v>
      </c>
      <c r="F153" s="13">
        <v>15972.1</v>
      </c>
      <c r="G153" s="13">
        <v>15972.1</v>
      </c>
      <c r="H153" s="13">
        <v>18864.2</v>
      </c>
      <c r="I153" s="13">
        <v>18910.169999999998</v>
      </c>
      <c r="J153" s="13">
        <v>54660.1</v>
      </c>
      <c r="K153" s="13">
        <v>36326.9</v>
      </c>
      <c r="L153" s="13">
        <v>29686.3</v>
      </c>
      <c r="M153" s="332"/>
      <c r="N153" s="7">
        <f>SUM(F153+H153+J153+L153)</f>
        <v>119182.7</v>
      </c>
      <c r="O153" s="562">
        <f>SUM(G153+I153+K153+M153)</f>
        <v>71209.17</v>
      </c>
    </row>
    <row r="154" spans="1:15" s="1" customFormat="1" ht="29.25" customHeight="1" x14ac:dyDescent="0.2">
      <c r="A154" s="54" t="s">
        <v>2</v>
      </c>
      <c r="B154" s="39"/>
      <c r="C154" s="309"/>
      <c r="D154" s="29">
        <f t="shared" ref="D154:O154" si="39">SUM(D153+D141+D79+D67+D149)</f>
        <v>216951.95</v>
      </c>
      <c r="E154" s="29">
        <f t="shared" si="39"/>
        <v>216951.95</v>
      </c>
      <c r="F154" s="29">
        <f t="shared" si="39"/>
        <v>28369.7</v>
      </c>
      <c r="G154" s="29">
        <f t="shared" si="39"/>
        <v>24379.25</v>
      </c>
      <c r="H154" s="29">
        <f t="shared" si="39"/>
        <v>39308.5</v>
      </c>
      <c r="I154" s="29">
        <f t="shared" si="39"/>
        <v>32412.309999999998</v>
      </c>
      <c r="J154" s="29">
        <f t="shared" si="39"/>
        <v>70605.8</v>
      </c>
      <c r="K154" s="29">
        <f t="shared" si="39"/>
        <v>45914.15</v>
      </c>
      <c r="L154" s="29">
        <f t="shared" si="39"/>
        <v>78667.95</v>
      </c>
      <c r="M154" s="29">
        <f t="shared" si="39"/>
        <v>0</v>
      </c>
      <c r="N154" s="29">
        <f t="shared" si="39"/>
        <v>216951.95</v>
      </c>
      <c r="O154" s="29">
        <f t="shared" si="39"/>
        <v>102705.71</v>
      </c>
    </row>
    <row r="155" spans="1:15" s="1" customFormat="1" ht="33" customHeight="1" x14ac:dyDescent="0.2">
      <c r="A155" s="55"/>
      <c r="B155" s="41" t="s">
        <v>59</v>
      </c>
      <c r="C155" s="41"/>
      <c r="D155" s="33"/>
      <c r="E155" s="33"/>
      <c r="F155" s="33"/>
      <c r="G155" s="33"/>
      <c r="H155" s="33"/>
      <c r="I155" s="33"/>
      <c r="J155" s="33"/>
      <c r="K155" s="33"/>
      <c r="L155" s="33"/>
      <c r="M155" s="125"/>
      <c r="N155" s="33"/>
      <c r="O155" s="65"/>
    </row>
    <row r="156" spans="1:15" s="1" customFormat="1" ht="26.25" customHeight="1" x14ac:dyDescent="0.2">
      <c r="A156" s="55"/>
      <c r="B156" s="41" t="s">
        <v>60</v>
      </c>
      <c r="C156" s="41"/>
      <c r="D156" s="33">
        <f t="shared" ref="D156:O156" si="40">SUM(D153+D143+D81+D69+D151)</f>
        <v>214958.25</v>
      </c>
      <c r="E156" s="33">
        <f t="shared" si="40"/>
        <v>214958.25</v>
      </c>
      <c r="F156" s="33">
        <f t="shared" si="40"/>
        <v>26376</v>
      </c>
      <c r="G156" s="33">
        <f t="shared" si="40"/>
        <v>22385.65</v>
      </c>
      <c r="H156" s="33">
        <f t="shared" si="40"/>
        <v>39308.5</v>
      </c>
      <c r="I156" s="33">
        <f t="shared" si="40"/>
        <v>32412.309999999998</v>
      </c>
      <c r="J156" s="33">
        <f t="shared" si="40"/>
        <v>70605.8</v>
      </c>
      <c r="K156" s="33">
        <f t="shared" si="40"/>
        <v>45914.15</v>
      </c>
      <c r="L156" s="33">
        <f t="shared" si="40"/>
        <v>78667.95</v>
      </c>
      <c r="M156" s="33">
        <f t="shared" si="40"/>
        <v>0</v>
      </c>
      <c r="N156" s="33">
        <f t="shared" si="40"/>
        <v>214958.25</v>
      </c>
      <c r="O156" s="33">
        <f t="shared" si="40"/>
        <v>100712.11</v>
      </c>
    </row>
    <row r="157" spans="1:15" s="1" customFormat="1" ht="37.5" customHeight="1" thickBot="1" x14ac:dyDescent="0.25">
      <c r="A157" s="55"/>
      <c r="B157" s="42" t="s">
        <v>61</v>
      </c>
      <c r="C157" s="311"/>
      <c r="D157" s="56">
        <f>SUM(D144+D70)</f>
        <v>1993.7</v>
      </c>
      <c r="E157" s="56">
        <f>SUM(E144+E70)</f>
        <v>1993.7</v>
      </c>
      <c r="F157" s="56">
        <f>SUM(F144+F70)</f>
        <v>1993.7</v>
      </c>
      <c r="G157" s="56">
        <f>SUM(G144)</f>
        <v>0</v>
      </c>
      <c r="H157" s="56">
        <f>SUM(H144)</f>
        <v>0</v>
      </c>
      <c r="I157" s="56">
        <f>SUM(I144)</f>
        <v>0</v>
      </c>
      <c r="J157" s="56">
        <f>SUM(J144+J70)</f>
        <v>0</v>
      </c>
      <c r="K157" s="56">
        <f>SUM(K144)</f>
        <v>0</v>
      </c>
      <c r="L157" s="56">
        <f>SUM(L144+L70)</f>
        <v>0</v>
      </c>
      <c r="M157" s="129">
        <f>SUM(M144+M70)</f>
        <v>0</v>
      </c>
      <c r="N157" s="56">
        <f>SUM(F157+H157+J157+L157)</f>
        <v>1993.7</v>
      </c>
      <c r="O157" s="56">
        <f>SUM(O144+O70)</f>
        <v>1993.6</v>
      </c>
    </row>
    <row r="158" spans="1:15" s="1" customFormat="1" ht="37.5" customHeight="1" x14ac:dyDescent="0.25">
      <c r="A158" s="661" t="s">
        <v>21</v>
      </c>
      <c r="B158" s="662"/>
      <c r="C158" s="662"/>
      <c r="D158" s="662"/>
      <c r="E158" s="662"/>
      <c r="F158" s="662"/>
      <c r="G158" s="662"/>
      <c r="H158" s="662"/>
      <c r="I158" s="662"/>
      <c r="J158" s="662"/>
      <c r="K158" s="662"/>
      <c r="L158" s="662"/>
      <c r="M158" s="662"/>
      <c r="N158" s="663"/>
      <c r="O158" s="664"/>
    </row>
    <row r="159" spans="1:15" s="1" customFormat="1" ht="70.5" customHeight="1" x14ac:dyDescent="0.2">
      <c r="A159" s="715" t="s">
        <v>151</v>
      </c>
      <c r="B159" s="26" t="s">
        <v>152</v>
      </c>
      <c r="C159" s="500"/>
      <c r="D159" s="501">
        <v>86</v>
      </c>
      <c r="E159" s="501">
        <v>86</v>
      </c>
      <c r="F159" s="502"/>
      <c r="G159" s="502"/>
      <c r="H159" s="502"/>
      <c r="I159" s="502"/>
      <c r="J159" s="502"/>
      <c r="K159" s="502"/>
      <c r="L159" s="501">
        <v>86</v>
      </c>
      <c r="M159" s="500"/>
      <c r="N159" s="503">
        <f>SUM(F159+H159+J159+L159)</f>
        <v>86</v>
      </c>
      <c r="O159" s="476">
        <f>SUM(G159+I159+K159+M159)</f>
        <v>0</v>
      </c>
    </row>
    <row r="160" spans="1:15" s="1" customFormat="1" ht="24" customHeight="1" x14ac:dyDescent="0.25">
      <c r="A160" s="716"/>
      <c r="B160" s="504" t="s">
        <v>59</v>
      </c>
      <c r="C160" s="500"/>
      <c r="D160" s="502"/>
      <c r="E160" s="502"/>
      <c r="F160" s="502"/>
      <c r="G160" s="502"/>
      <c r="H160" s="502"/>
      <c r="I160" s="502"/>
      <c r="J160" s="502"/>
      <c r="K160" s="502"/>
      <c r="L160" s="502"/>
      <c r="M160" s="500"/>
      <c r="N160" s="505"/>
      <c r="O160" s="505"/>
    </row>
    <row r="161" spans="1:15" s="1" customFormat="1" ht="25.5" customHeight="1" x14ac:dyDescent="0.25">
      <c r="A161" s="716"/>
      <c r="B161" s="504" t="s">
        <v>60</v>
      </c>
      <c r="C161" s="506"/>
      <c r="D161" s="501">
        <v>86</v>
      </c>
      <c r="E161" s="501">
        <v>86</v>
      </c>
      <c r="F161" s="502"/>
      <c r="G161" s="502"/>
      <c r="H161" s="502"/>
      <c r="I161" s="502"/>
      <c r="J161" s="502"/>
      <c r="K161" s="502"/>
      <c r="L161" s="501">
        <v>86</v>
      </c>
      <c r="M161" s="500"/>
      <c r="N161" s="503">
        <f>SUM(F161+H161+J161+L161)</f>
        <v>86</v>
      </c>
      <c r="O161" s="476">
        <f>SUM(G161+I161+K161+M161)</f>
        <v>0</v>
      </c>
    </row>
    <row r="162" spans="1:15" ht="39" customHeight="1" x14ac:dyDescent="0.25">
      <c r="A162" s="717"/>
      <c r="B162" s="507" t="s">
        <v>61</v>
      </c>
      <c r="C162" s="506"/>
      <c r="D162" s="500"/>
      <c r="E162" s="500"/>
      <c r="F162" s="500"/>
      <c r="G162" s="500"/>
      <c r="H162" s="500"/>
      <c r="I162" s="500"/>
      <c r="J162" s="500"/>
      <c r="K162" s="500"/>
      <c r="L162" s="500"/>
      <c r="M162" s="500"/>
      <c r="N162" s="505"/>
      <c r="O162" s="505"/>
    </row>
    <row r="163" spans="1:15" ht="168.75" customHeight="1" x14ac:dyDescent="0.2">
      <c r="A163" s="681" t="s">
        <v>126</v>
      </c>
      <c r="B163" s="478" t="s">
        <v>119</v>
      </c>
      <c r="C163" s="471" t="s">
        <v>138</v>
      </c>
      <c r="D163" s="469">
        <v>15973.3</v>
      </c>
      <c r="E163" s="469">
        <v>15973.3</v>
      </c>
      <c r="F163" s="469">
        <v>0</v>
      </c>
      <c r="G163" s="469">
        <v>0</v>
      </c>
      <c r="H163" s="469">
        <v>15973.3</v>
      </c>
      <c r="I163" s="469">
        <v>0</v>
      </c>
      <c r="J163" s="469">
        <v>0</v>
      </c>
      <c r="K163" s="469">
        <f>SUM(K165+K166)</f>
        <v>10891.7</v>
      </c>
      <c r="L163" s="469">
        <v>0</v>
      </c>
      <c r="M163" s="469">
        <v>0</v>
      </c>
      <c r="N163" s="469">
        <f>SUM(F163+H163+J163+L163)</f>
        <v>15973.3</v>
      </c>
      <c r="O163" s="469">
        <f>SUM(G163+I163+K163+M163)</f>
        <v>10891.7</v>
      </c>
    </row>
    <row r="164" spans="1:15" ht="18" customHeight="1" x14ac:dyDescent="0.25">
      <c r="A164" s="682"/>
      <c r="B164" s="474" t="s">
        <v>59</v>
      </c>
      <c r="C164" s="472"/>
      <c r="D164" s="469"/>
      <c r="E164" s="469"/>
      <c r="F164" s="469"/>
      <c r="G164" s="469"/>
      <c r="H164" s="469"/>
      <c r="I164" s="469"/>
      <c r="J164" s="469"/>
      <c r="K164" s="469"/>
      <c r="L164" s="469"/>
      <c r="M164" s="469"/>
      <c r="N164" s="469"/>
      <c r="O164" s="469"/>
    </row>
    <row r="165" spans="1:15" ht="18" customHeight="1" x14ac:dyDescent="0.25">
      <c r="A165" s="682"/>
      <c r="B165" s="474" t="s">
        <v>60</v>
      </c>
      <c r="C165" s="472"/>
      <c r="D165" s="469">
        <v>798.7</v>
      </c>
      <c r="E165" s="469">
        <v>798.7</v>
      </c>
      <c r="F165" s="469"/>
      <c r="G165" s="469"/>
      <c r="H165" s="469">
        <v>798.7</v>
      </c>
      <c r="I165" s="469"/>
      <c r="J165" s="469"/>
      <c r="K165" s="469">
        <v>544.6</v>
      </c>
      <c r="L165" s="469"/>
      <c r="M165" s="469"/>
      <c r="N165" s="469">
        <f>SUM(F165+H165+J165+L165)</f>
        <v>798.7</v>
      </c>
      <c r="O165" s="469">
        <f>SUM(G165+I165+K165+M165)</f>
        <v>544.6</v>
      </c>
    </row>
    <row r="166" spans="1:15" ht="33.75" customHeight="1" x14ac:dyDescent="0.25">
      <c r="A166" s="682"/>
      <c r="B166" s="473" t="s">
        <v>61</v>
      </c>
      <c r="C166" s="472"/>
      <c r="D166" s="469">
        <v>15174.6</v>
      </c>
      <c r="E166" s="469">
        <v>15174.6</v>
      </c>
      <c r="F166" s="469"/>
      <c r="G166" s="469"/>
      <c r="H166" s="469">
        <v>15174.6</v>
      </c>
      <c r="I166" s="469"/>
      <c r="J166" s="469"/>
      <c r="K166" s="469">
        <v>10347.1</v>
      </c>
      <c r="L166" s="469"/>
      <c r="M166" s="469"/>
      <c r="N166" s="469">
        <f>SUM(F166+H166+J166+L166)</f>
        <v>15174.6</v>
      </c>
      <c r="O166" s="469">
        <f>SUM(G166+I166+K166+M166)</f>
        <v>10347.1</v>
      </c>
    </row>
    <row r="167" spans="1:15" ht="27" customHeight="1" x14ac:dyDescent="0.25">
      <c r="A167" s="682"/>
      <c r="B167" s="339" t="s">
        <v>120</v>
      </c>
      <c r="C167" s="472"/>
      <c r="D167" s="469"/>
      <c r="E167" s="469"/>
      <c r="F167" s="469"/>
      <c r="G167" s="469"/>
      <c r="H167" s="469"/>
      <c r="I167" s="469"/>
      <c r="J167" s="469"/>
      <c r="K167" s="469"/>
      <c r="L167" s="469"/>
      <c r="M167" s="469"/>
      <c r="N167" s="469"/>
      <c r="O167" s="469"/>
    </row>
    <row r="168" spans="1:15" ht="18" customHeight="1" x14ac:dyDescent="0.25">
      <c r="A168" s="682"/>
      <c r="B168" s="474" t="s">
        <v>60</v>
      </c>
      <c r="C168" s="472"/>
      <c r="D168" s="469">
        <v>12764.7</v>
      </c>
      <c r="E168" s="469">
        <v>12764.7</v>
      </c>
      <c r="F168" s="469">
        <v>0</v>
      </c>
      <c r="G168" s="469">
        <v>0</v>
      </c>
      <c r="H168" s="469">
        <v>9200</v>
      </c>
      <c r="I168" s="469">
        <v>0</v>
      </c>
      <c r="J168" s="469">
        <v>3564.7</v>
      </c>
      <c r="K168" s="469">
        <v>12764.7</v>
      </c>
      <c r="L168" s="469">
        <v>0</v>
      </c>
      <c r="M168" s="469">
        <v>0</v>
      </c>
      <c r="N168" s="469">
        <f>SUM(F168+H168+J168+L168)</f>
        <v>12764.7</v>
      </c>
      <c r="O168" s="469">
        <f>SUM(G168+I168+K168+M168)</f>
        <v>12764.7</v>
      </c>
    </row>
    <row r="169" spans="1:15" ht="18" customHeight="1" x14ac:dyDescent="0.25">
      <c r="A169" s="682"/>
      <c r="B169" s="339" t="s">
        <v>45</v>
      </c>
      <c r="C169" s="472"/>
      <c r="D169" s="469"/>
      <c r="E169" s="469"/>
      <c r="F169" s="469"/>
      <c r="G169" s="469"/>
      <c r="H169" s="469"/>
      <c r="I169" s="469"/>
      <c r="J169" s="469"/>
      <c r="K169" s="469"/>
      <c r="L169" s="469"/>
      <c r="M169" s="469"/>
      <c r="N169" s="469"/>
      <c r="O169" s="469"/>
    </row>
    <row r="170" spans="1:15" ht="18" customHeight="1" x14ac:dyDescent="0.25">
      <c r="A170" s="682"/>
      <c r="B170" s="474" t="s">
        <v>60</v>
      </c>
      <c r="C170" s="472"/>
      <c r="D170" s="469">
        <v>1487.6</v>
      </c>
      <c r="E170" s="469">
        <v>1487.6</v>
      </c>
      <c r="F170" s="469">
        <v>400</v>
      </c>
      <c r="G170" s="469">
        <v>394.5</v>
      </c>
      <c r="H170" s="469">
        <v>700</v>
      </c>
      <c r="I170" s="469">
        <v>648.1</v>
      </c>
      <c r="J170" s="469">
        <v>0</v>
      </c>
      <c r="K170" s="469">
        <v>0</v>
      </c>
      <c r="L170" s="469">
        <v>387.6</v>
      </c>
      <c r="M170" s="469">
        <v>0</v>
      </c>
      <c r="N170" s="469">
        <f>SUM(F170+H170+J170+L170)</f>
        <v>1487.6</v>
      </c>
      <c r="O170" s="469">
        <f>SUM(G170+I170+K170+M170)</f>
        <v>1042.5999999999999</v>
      </c>
    </row>
    <row r="171" spans="1:15" ht="57" customHeight="1" x14ac:dyDescent="0.25">
      <c r="A171" s="682"/>
      <c r="B171" s="525" t="s">
        <v>194</v>
      </c>
      <c r="C171" s="472"/>
      <c r="D171" s="469"/>
      <c r="E171" s="469"/>
      <c r="F171" s="469"/>
      <c r="G171" s="469"/>
      <c r="H171" s="469"/>
      <c r="I171" s="469"/>
      <c r="J171" s="469"/>
      <c r="K171" s="469"/>
      <c r="L171" s="469"/>
      <c r="M171" s="469"/>
      <c r="N171" s="469"/>
      <c r="O171" s="469"/>
    </row>
    <row r="172" spans="1:15" ht="18" customHeight="1" x14ac:dyDescent="0.25">
      <c r="A172" s="682"/>
      <c r="B172" s="474" t="s">
        <v>60</v>
      </c>
      <c r="C172" s="472"/>
      <c r="D172" s="468">
        <v>80</v>
      </c>
      <c r="E172" s="468">
        <v>80</v>
      </c>
      <c r="F172" s="468">
        <v>0</v>
      </c>
      <c r="G172" s="468">
        <v>0</v>
      </c>
      <c r="H172" s="468">
        <v>0</v>
      </c>
      <c r="I172" s="468">
        <v>0</v>
      </c>
      <c r="J172" s="468">
        <v>80</v>
      </c>
      <c r="K172" s="468">
        <v>0</v>
      </c>
      <c r="L172" s="468">
        <v>0</v>
      </c>
      <c r="M172" s="468">
        <v>0</v>
      </c>
      <c r="N172" s="469">
        <f>SUM(F172+H172+J172+L172)</f>
        <v>80</v>
      </c>
      <c r="O172" s="469">
        <f>SUM(G172+I172+K172+M172)</f>
        <v>0</v>
      </c>
    </row>
    <row r="173" spans="1:15" ht="18" customHeight="1" x14ac:dyDescent="0.25">
      <c r="A173" s="682"/>
      <c r="B173" s="479" t="s">
        <v>121</v>
      </c>
      <c r="C173" s="472"/>
      <c r="D173" s="469"/>
      <c r="E173" s="469"/>
      <c r="F173" s="469"/>
      <c r="G173" s="469"/>
      <c r="H173" s="469"/>
      <c r="I173" s="469"/>
      <c r="J173" s="469"/>
      <c r="K173" s="469"/>
      <c r="L173" s="469"/>
      <c r="M173" s="469"/>
      <c r="N173" s="469"/>
      <c r="O173" s="469"/>
    </row>
    <row r="174" spans="1:15" ht="18" customHeight="1" x14ac:dyDescent="0.25">
      <c r="A174" s="682"/>
      <c r="B174" s="474" t="s">
        <v>60</v>
      </c>
      <c r="C174" s="472"/>
      <c r="D174" s="468">
        <v>1086.4000000000001</v>
      </c>
      <c r="E174" s="468">
        <v>1086.4000000000001</v>
      </c>
      <c r="F174" s="468">
        <v>0</v>
      </c>
      <c r="G174" s="468">
        <v>0</v>
      </c>
      <c r="H174" s="468">
        <v>1086.4000000000001</v>
      </c>
      <c r="I174" s="468">
        <v>0</v>
      </c>
      <c r="J174" s="468">
        <v>0</v>
      </c>
      <c r="K174" s="468">
        <v>452.5</v>
      </c>
      <c r="L174" s="468">
        <v>0</v>
      </c>
      <c r="M174" s="468">
        <v>0</v>
      </c>
      <c r="N174" s="469">
        <f>SUM(F174+H174+J174+L174)</f>
        <v>1086.4000000000001</v>
      </c>
      <c r="O174" s="469">
        <f>SUM(G174+I174+K174+M174)</f>
        <v>452.5</v>
      </c>
    </row>
    <row r="175" spans="1:15" ht="34.5" customHeight="1" x14ac:dyDescent="0.25">
      <c r="A175" s="682"/>
      <c r="B175" s="479" t="s">
        <v>142</v>
      </c>
      <c r="C175" s="472"/>
      <c r="D175" s="469"/>
      <c r="E175" s="469"/>
      <c r="F175" s="469"/>
      <c r="G175" s="469"/>
      <c r="H175" s="469"/>
      <c r="I175" s="469"/>
      <c r="J175" s="469"/>
      <c r="K175" s="469"/>
      <c r="L175" s="469"/>
      <c r="M175" s="469"/>
      <c r="N175" s="469"/>
      <c r="O175" s="469"/>
    </row>
    <row r="176" spans="1:15" ht="25.5" customHeight="1" x14ac:dyDescent="0.25">
      <c r="A176" s="682"/>
      <c r="B176" s="474" t="s">
        <v>60</v>
      </c>
      <c r="C176" s="472"/>
      <c r="D176" s="468">
        <v>2333.1999999999998</v>
      </c>
      <c r="E176" s="468">
        <v>2333.1999999999998</v>
      </c>
      <c r="F176" s="468">
        <v>1400</v>
      </c>
      <c r="G176" s="468">
        <v>450.6</v>
      </c>
      <c r="H176" s="468">
        <v>933.2</v>
      </c>
      <c r="I176" s="468">
        <v>891.01</v>
      </c>
      <c r="J176" s="468">
        <v>0</v>
      </c>
      <c r="K176" s="468">
        <v>991.6</v>
      </c>
      <c r="L176" s="468">
        <v>0</v>
      </c>
      <c r="M176" s="468">
        <v>0</v>
      </c>
      <c r="N176" s="469">
        <f>SUM(F176+H176+J176+L176)</f>
        <v>2333.1999999999998</v>
      </c>
      <c r="O176" s="469">
        <f>SUM(G176+I176+K176+M176)</f>
        <v>2333.21</v>
      </c>
    </row>
    <row r="177" spans="1:16" ht="55.5" customHeight="1" x14ac:dyDescent="0.25">
      <c r="A177" s="682"/>
      <c r="B177" s="339" t="s">
        <v>165</v>
      </c>
      <c r="C177" s="472"/>
      <c r="D177" s="469"/>
      <c r="E177" s="469"/>
      <c r="F177" s="469"/>
      <c r="G177" s="469"/>
      <c r="H177" s="469"/>
      <c r="I177" s="469"/>
      <c r="J177" s="469"/>
      <c r="K177" s="469"/>
      <c r="L177" s="469"/>
      <c r="M177" s="469"/>
      <c r="N177" s="469"/>
      <c r="O177" s="469"/>
    </row>
    <row r="178" spans="1:16" ht="18" customHeight="1" x14ac:dyDescent="0.25">
      <c r="A178" s="682"/>
      <c r="B178" s="474" t="s">
        <v>60</v>
      </c>
      <c r="C178" s="472"/>
      <c r="D178" s="468">
        <v>2259.3000000000002</v>
      </c>
      <c r="E178" s="468">
        <v>2259.3000000000002</v>
      </c>
      <c r="F178" s="468">
        <v>0</v>
      </c>
      <c r="G178" s="468">
        <v>0</v>
      </c>
      <c r="H178" s="468">
        <v>2259.3000000000002</v>
      </c>
      <c r="I178" s="468">
        <v>0</v>
      </c>
      <c r="J178" s="468">
        <v>0</v>
      </c>
      <c r="K178" s="468">
        <v>0</v>
      </c>
      <c r="L178" s="468">
        <v>0</v>
      </c>
      <c r="M178" s="468">
        <v>0</v>
      </c>
      <c r="N178" s="469">
        <f>SUM(F178+H178+J178+L178)</f>
        <v>2259.3000000000002</v>
      </c>
      <c r="O178" s="469">
        <f>SUM(G178+I178+K178+M178)</f>
        <v>0</v>
      </c>
    </row>
    <row r="179" spans="1:16" ht="45.75" customHeight="1" x14ac:dyDescent="0.25">
      <c r="A179" s="682"/>
      <c r="B179" s="525" t="s">
        <v>167</v>
      </c>
      <c r="C179" s="472"/>
      <c r="D179" s="469"/>
      <c r="E179" s="469"/>
      <c r="F179" s="469"/>
      <c r="G179" s="469"/>
      <c r="H179" s="469"/>
      <c r="I179" s="469"/>
      <c r="J179" s="469"/>
      <c r="K179" s="469"/>
      <c r="L179" s="469"/>
      <c r="M179" s="469"/>
      <c r="N179" s="469"/>
      <c r="O179" s="469"/>
    </row>
    <row r="180" spans="1:16" ht="18" customHeight="1" x14ac:dyDescent="0.25">
      <c r="A180" s="682"/>
      <c r="B180" s="474" t="s">
        <v>60</v>
      </c>
      <c r="C180" s="472"/>
      <c r="D180" s="468">
        <v>170</v>
      </c>
      <c r="E180" s="468">
        <v>170</v>
      </c>
      <c r="F180" s="468">
        <v>0</v>
      </c>
      <c r="G180" s="468">
        <v>0</v>
      </c>
      <c r="H180" s="468">
        <v>170</v>
      </c>
      <c r="I180" s="468">
        <v>0</v>
      </c>
      <c r="J180" s="468">
        <v>0</v>
      </c>
      <c r="K180" s="468">
        <v>170</v>
      </c>
      <c r="L180" s="468">
        <v>0</v>
      </c>
      <c r="M180" s="468">
        <v>0</v>
      </c>
      <c r="N180" s="469">
        <f>SUM(F180+H180+J180+L180)</f>
        <v>170</v>
      </c>
      <c r="O180" s="469">
        <f>SUM(G180+I180+K180+M180)</f>
        <v>170</v>
      </c>
    </row>
    <row r="181" spans="1:16" ht="37.5" customHeight="1" x14ac:dyDescent="0.25">
      <c r="A181" s="682"/>
      <c r="B181" s="525" t="s">
        <v>192</v>
      </c>
      <c r="C181" s="472"/>
      <c r="D181" s="469"/>
      <c r="E181" s="469"/>
      <c r="F181" s="469"/>
      <c r="G181" s="469"/>
      <c r="H181" s="469"/>
      <c r="I181" s="469"/>
      <c r="J181" s="469"/>
      <c r="K181" s="469"/>
      <c r="L181" s="469"/>
      <c r="M181" s="469"/>
      <c r="N181" s="469"/>
      <c r="O181" s="469"/>
    </row>
    <row r="182" spans="1:16" ht="27.75" customHeight="1" x14ac:dyDescent="0.25">
      <c r="A182" s="682"/>
      <c r="B182" s="474" t="s">
        <v>60</v>
      </c>
      <c r="C182" s="472"/>
      <c r="D182" s="468">
        <v>1060.3</v>
      </c>
      <c r="E182" s="468">
        <v>1060.3</v>
      </c>
      <c r="F182" s="468">
        <v>1060.3</v>
      </c>
      <c r="G182" s="468">
        <v>1060.25</v>
      </c>
      <c r="H182" s="468">
        <v>0</v>
      </c>
      <c r="I182" s="468">
        <v>0</v>
      </c>
      <c r="J182" s="468">
        <v>0</v>
      </c>
      <c r="K182" s="468">
        <v>0</v>
      </c>
      <c r="L182" s="468">
        <v>0</v>
      </c>
      <c r="M182" s="468">
        <v>0</v>
      </c>
      <c r="N182" s="469">
        <f>SUM(F182+H182+J182+L182)</f>
        <v>1060.3</v>
      </c>
      <c r="O182" s="469">
        <f>SUM(G182+I182+K182+M182)</f>
        <v>1060.25</v>
      </c>
    </row>
    <row r="183" spans="1:16" s="172" customFormat="1" ht="37.5" customHeight="1" x14ac:dyDescent="0.25">
      <c r="A183" s="682"/>
      <c r="B183" s="525" t="s">
        <v>193</v>
      </c>
      <c r="C183" s="472"/>
      <c r="D183" s="469"/>
      <c r="E183" s="469"/>
      <c r="F183" s="469"/>
      <c r="G183" s="469"/>
      <c r="H183" s="469"/>
      <c r="I183" s="469"/>
      <c r="J183" s="469"/>
      <c r="K183" s="469"/>
      <c r="L183" s="469"/>
      <c r="M183" s="469"/>
      <c r="N183" s="469"/>
      <c r="O183" s="469"/>
      <c r="P183" s="175"/>
    </row>
    <row r="184" spans="1:16" s="172" customFormat="1" ht="20.25" customHeight="1" x14ac:dyDescent="0.25">
      <c r="A184" s="682"/>
      <c r="B184" s="474" t="s">
        <v>60</v>
      </c>
      <c r="C184" s="472"/>
      <c r="D184" s="468">
        <v>287.5</v>
      </c>
      <c r="E184" s="468">
        <v>287.5</v>
      </c>
      <c r="F184" s="468">
        <v>0</v>
      </c>
      <c r="G184" s="468">
        <v>0</v>
      </c>
      <c r="H184" s="468">
        <v>0</v>
      </c>
      <c r="I184" s="468">
        <v>0</v>
      </c>
      <c r="J184" s="468">
        <v>287.5</v>
      </c>
      <c r="K184" s="468"/>
      <c r="L184" s="468"/>
      <c r="M184" s="468"/>
      <c r="N184" s="469">
        <f>SUM(F184+H184+J184+L184)</f>
        <v>287.5</v>
      </c>
      <c r="O184" s="469">
        <f>SUM(G184+I184+K184+M184)</f>
        <v>0</v>
      </c>
      <c r="P184" s="175"/>
    </row>
    <row r="185" spans="1:16" s="172" customFormat="1" ht="35.25" customHeight="1" x14ac:dyDescent="0.25">
      <c r="A185" s="682"/>
      <c r="B185" s="525" t="s">
        <v>143</v>
      </c>
      <c r="C185" s="472"/>
      <c r="D185" s="469"/>
      <c r="E185" s="469"/>
      <c r="F185" s="469"/>
      <c r="G185" s="469"/>
      <c r="H185" s="469"/>
      <c r="I185" s="469"/>
      <c r="J185" s="469"/>
      <c r="K185" s="469"/>
      <c r="L185" s="469"/>
      <c r="M185" s="469"/>
      <c r="N185" s="469"/>
      <c r="O185" s="469"/>
      <c r="P185" s="175"/>
    </row>
    <row r="186" spans="1:16" s="172" customFormat="1" ht="20.25" customHeight="1" x14ac:dyDescent="0.25">
      <c r="A186" s="682"/>
      <c r="B186" s="474" t="s">
        <v>60</v>
      </c>
      <c r="C186" s="472"/>
      <c r="D186" s="468">
        <v>100</v>
      </c>
      <c r="E186" s="468">
        <v>100</v>
      </c>
      <c r="F186" s="468">
        <v>20</v>
      </c>
      <c r="G186" s="468">
        <v>20</v>
      </c>
      <c r="H186" s="468">
        <v>0</v>
      </c>
      <c r="I186" s="468">
        <v>0</v>
      </c>
      <c r="J186" s="468">
        <v>80</v>
      </c>
      <c r="K186" s="468">
        <v>0</v>
      </c>
      <c r="L186" s="468">
        <v>0</v>
      </c>
      <c r="M186" s="468">
        <v>0</v>
      </c>
      <c r="N186" s="469">
        <f>SUM(F186+H186+J186+L186)</f>
        <v>100</v>
      </c>
      <c r="O186" s="469">
        <f>SUM(G186+I186+K186+M186)</f>
        <v>20</v>
      </c>
      <c r="P186" s="175"/>
    </row>
    <row r="187" spans="1:16" s="172" customFormat="1" ht="36" customHeight="1" x14ac:dyDescent="0.25">
      <c r="A187" s="682"/>
      <c r="B187" s="525" t="s">
        <v>144</v>
      </c>
      <c r="C187" s="472"/>
      <c r="D187" s="469"/>
      <c r="E187" s="469"/>
      <c r="F187" s="469"/>
      <c r="G187" s="469"/>
      <c r="H187" s="469"/>
      <c r="I187" s="469"/>
      <c r="J187" s="469"/>
      <c r="K187" s="469"/>
      <c r="L187" s="469"/>
      <c r="M187" s="469"/>
      <c r="N187" s="469"/>
      <c r="O187" s="469"/>
      <c r="P187" s="175"/>
    </row>
    <row r="188" spans="1:16" s="172" customFormat="1" ht="20.25" customHeight="1" x14ac:dyDescent="0.25">
      <c r="A188" s="682"/>
      <c r="B188" s="474" t="s">
        <v>60</v>
      </c>
      <c r="C188" s="472"/>
      <c r="D188" s="468">
        <v>398</v>
      </c>
      <c r="E188" s="468">
        <v>398</v>
      </c>
      <c r="F188" s="468">
        <v>0</v>
      </c>
      <c r="G188" s="468">
        <v>0</v>
      </c>
      <c r="H188" s="468">
        <v>398</v>
      </c>
      <c r="I188" s="468">
        <v>197.9</v>
      </c>
      <c r="J188" s="468">
        <v>0</v>
      </c>
      <c r="K188" s="468">
        <v>0</v>
      </c>
      <c r="L188" s="468">
        <v>0</v>
      </c>
      <c r="M188" s="468">
        <v>0</v>
      </c>
      <c r="N188" s="469">
        <f>SUM(F188+H188+J188+L188)</f>
        <v>398</v>
      </c>
      <c r="O188" s="469">
        <f>SUM(G188+I188+K188+M188)</f>
        <v>197.9</v>
      </c>
      <c r="P188" s="175"/>
    </row>
    <row r="189" spans="1:16" s="172" customFormat="1" ht="39.75" customHeight="1" x14ac:dyDescent="0.25">
      <c r="A189" s="682"/>
      <c r="B189" s="525" t="s">
        <v>166</v>
      </c>
      <c r="C189" s="472"/>
      <c r="D189" s="469"/>
      <c r="E189" s="469"/>
      <c r="F189" s="469"/>
      <c r="G189" s="469"/>
      <c r="H189" s="469"/>
      <c r="I189" s="469"/>
      <c r="J189" s="469"/>
      <c r="K189" s="469"/>
      <c r="L189" s="469"/>
      <c r="M189" s="469"/>
      <c r="N189" s="469"/>
      <c r="O189" s="469"/>
      <c r="P189" s="175"/>
    </row>
    <row r="190" spans="1:16" s="172" customFormat="1" ht="24.75" customHeight="1" x14ac:dyDescent="0.25">
      <c r="A190" s="682"/>
      <c r="B190" s="474" t="s">
        <v>60</v>
      </c>
      <c r="C190" s="472"/>
      <c r="D190" s="468">
        <v>200</v>
      </c>
      <c r="E190" s="468">
        <v>200</v>
      </c>
      <c r="F190" s="468">
        <v>0</v>
      </c>
      <c r="G190" s="468">
        <v>0</v>
      </c>
      <c r="H190" s="468">
        <v>200</v>
      </c>
      <c r="I190" s="468">
        <v>0</v>
      </c>
      <c r="J190" s="468">
        <v>0</v>
      </c>
      <c r="K190" s="468">
        <v>0</v>
      </c>
      <c r="L190" s="468">
        <v>0</v>
      </c>
      <c r="M190" s="468">
        <v>0</v>
      </c>
      <c r="N190" s="469">
        <f>SUM(F190+H190+J190+L190)</f>
        <v>200</v>
      </c>
      <c r="O190" s="469">
        <f>SUM(G190+I190+K190+M190)</f>
        <v>0</v>
      </c>
      <c r="P190" s="175"/>
    </row>
    <row r="191" spans="1:16" s="464" customFormat="1" ht="30" customHeight="1" x14ac:dyDescent="0.25">
      <c r="A191" s="682"/>
      <c r="B191" s="525" t="s">
        <v>122</v>
      </c>
      <c r="C191" s="472"/>
      <c r="D191" s="469"/>
      <c r="E191" s="469"/>
      <c r="F191" s="469"/>
      <c r="G191" s="469"/>
      <c r="H191" s="469"/>
      <c r="I191" s="469"/>
      <c r="J191" s="469"/>
      <c r="K191" s="469"/>
      <c r="L191" s="469"/>
      <c r="M191" s="469"/>
      <c r="N191" s="469"/>
      <c r="O191" s="469"/>
      <c r="P191" s="465"/>
    </row>
    <row r="192" spans="1:16" s="464" customFormat="1" ht="24.75" customHeight="1" x14ac:dyDescent="0.25">
      <c r="A192" s="682"/>
      <c r="B192" s="474" t="s">
        <v>60</v>
      </c>
      <c r="C192" s="472"/>
      <c r="D192" s="468">
        <v>570</v>
      </c>
      <c r="E192" s="468">
        <v>570</v>
      </c>
      <c r="F192" s="468">
        <v>0</v>
      </c>
      <c r="G192" s="468">
        <v>0</v>
      </c>
      <c r="H192" s="468">
        <v>150</v>
      </c>
      <c r="I192" s="468">
        <v>67.94</v>
      </c>
      <c r="J192" s="468">
        <v>200</v>
      </c>
      <c r="K192" s="468">
        <v>0</v>
      </c>
      <c r="L192" s="468">
        <v>220</v>
      </c>
      <c r="M192" s="468">
        <v>0</v>
      </c>
      <c r="N192" s="469">
        <f>SUM(F192+H192+J192+L192)</f>
        <v>570</v>
      </c>
      <c r="O192" s="469">
        <f>SUM(G192+I192+K192+M192)</f>
        <v>67.94</v>
      </c>
      <c r="P192" s="465"/>
    </row>
    <row r="193" spans="1:16" s="464" customFormat="1" ht="52.5" customHeight="1" x14ac:dyDescent="0.25">
      <c r="A193" s="682"/>
      <c r="B193" s="525" t="s">
        <v>123</v>
      </c>
      <c r="C193" s="472"/>
      <c r="D193" s="469"/>
      <c r="E193" s="469"/>
      <c r="F193" s="469"/>
      <c r="G193" s="469"/>
      <c r="H193" s="469"/>
      <c r="I193" s="469"/>
      <c r="J193" s="469"/>
      <c r="K193" s="469"/>
      <c r="L193" s="469"/>
      <c r="M193" s="469"/>
      <c r="N193" s="469"/>
      <c r="O193" s="469"/>
      <c r="P193" s="465"/>
    </row>
    <row r="194" spans="1:16" s="464" customFormat="1" ht="24.75" customHeight="1" x14ac:dyDescent="0.25">
      <c r="A194" s="682"/>
      <c r="B194" s="474" t="s">
        <v>60</v>
      </c>
      <c r="C194" s="472"/>
      <c r="D194" s="468">
        <v>720.3</v>
      </c>
      <c r="E194" s="468">
        <v>720.3</v>
      </c>
      <c r="F194" s="468">
        <v>0</v>
      </c>
      <c r="G194" s="468">
        <v>0</v>
      </c>
      <c r="H194" s="468">
        <v>720.3</v>
      </c>
      <c r="I194" s="468">
        <v>0</v>
      </c>
      <c r="J194" s="468">
        <v>0</v>
      </c>
      <c r="K194" s="468">
        <v>0</v>
      </c>
      <c r="L194" s="468">
        <v>0</v>
      </c>
      <c r="M194" s="468">
        <v>0</v>
      </c>
      <c r="N194" s="469">
        <f>SUM(F194+H194+J194+L194)</f>
        <v>720.3</v>
      </c>
      <c r="O194" s="469"/>
      <c r="P194" s="465"/>
    </row>
    <row r="195" spans="1:16" s="464" customFormat="1" ht="53.25" customHeight="1" x14ac:dyDescent="0.25">
      <c r="A195" s="682"/>
      <c r="B195" s="525" t="s">
        <v>124</v>
      </c>
      <c r="C195" s="472"/>
      <c r="D195" s="469"/>
      <c r="E195" s="469"/>
      <c r="F195" s="469"/>
      <c r="G195" s="469"/>
      <c r="H195" s="469"/>
      <c r="I195" s="469"/>
      <c r="J195" s="469"/>
      <c r="K195" s="469"/>
      <c r="L195" s="469"/>
      <c r="M195" s="469"/>
      <c r="N195" s="469"/>
      <c r="O195" s="469"/>
      <c r="P195" s="465"/>
    </row>
    <row r="196" spans="1:16" s="464" customFormat="1" ht="24.75" customHeight="1" x14ac:dyDescent="0.25">
      <c r="A196" s="682"/>
      <c r="B196" s="474" t="s">
        <v>60</v>
      </c>
      <c r="C196" s="472"/>
      <c r="D196" s="468">
        <v>1998.9</v>
      </c>
      <c r="E196" s="468">
        <v>1998.9</v>
      </c>
      <c r="F196" s="468">
        <v>0</v>
      </c>
      <c r="G196" s="468">
        <v>0</v>
      </c>
      <c r="H196" s="468">
        <v>1998.9</v>
      </c>
      <c r="I196" s="468">
        <v>0</v>
      </c>
      <c r="J196" s="468">
        <v>0</v>
      </c>
      <c r="K196" s="468">
        <v>908.59</v>
      </c>
      <c r="L196" s="468">
        <v>0</v>
      </c>
      <c r="M196" s="468">
        <v>0</v>
      </c>
      <c r="N196" s="469">
        <f>SUM(F196+H196+J196+L196)</f>
        <v>1998.9</v>
      </c>
      <c r="O196" s="469">
        <f>SUM(G196+I196+K196+M196)</f>
        <v>908.59</v>
      </c>
      <c r="P196" s="465"/>
    </row>
    <row r="197" spans="1:16" s="464" customFormat="1" ht="48.75" customHeight="1" x14ac:dyDescent="0.25">
      <c r="A197" s="682"/>
      <c r="B197" s="566" t="s">
        <v>208</v>
      </c>
      <c r="C197" s="472"/>
      <c r="D197" s="468"/>
      <c r="E197" s="468"/>
      <c r="F197" s="468"/>
      <c r="G197" s="468"/>
      <c r="H197" s="468"/>
      <c r="I197" s="468"/>
      <c r="J197" s="468"/>
      <c r="K197" s="468"/>
      <c r="L197" s="468"/>
      <c r="M197" s="468"/>
      <c r="N197" s="469"/>
      <c r="O197" s="469"/>
      <c r="P197" s="465"/>
    </row>
    <row r="198" spans="1:16" s="464" customFormat="1" ht="24.75" customHeight="1" x14ac:dyDescent="0.25">
      <c r="A198" s="682"/>
      <c r="B198" s="565" t="s">
        <v>60</v>
      </c>
      <c r="C198" s="472"/>
      <c r="D198" s="567">
        <v>304</v>
      </c>
      <c r="E198" s="567">
        <v>304</v>
      </c>
      <c r="F198" s="567"/>
      <c r="G198" s="567"/>
      <c r="H198" s="567"/>
      <c r="I198" s="567"/>
      <c r="J198" s="567">
        <v>304</v>
      </c>
      <c r="K198" s="567">
        <v>304</v>
      </c>
      <c r="L198" s="567"/>
      <c r="M198" s="567"/>
      <c r="N198" s="568">
        <f>SUM(F198+H198+J198+L198)</f>
        <v>304</v>
      </c>
      <c r="O198" s="568">
        <f>SUM(G198+I198+K198+M198)</f>
        <v>304</v>
      </c>
      <c r="P198" s="465"/>
    </row>
    <row r="199" spans="1:16" s="464" customFormat="1" ht="41.25" customHeight="1" x14ac:dyDescent="0.25">
      <c r="A199" s="682"/>
      <c r="B199" s="566" t="s">
        <v>209</v>
      </c>
      <c r="C199" s="472"/>
      <c r="D199" s="468"/>
      <c r="E199" s="468"/>
      <c r="F199" s="468"/>
      <c r="G199" s="468"/>
      <c r="H199" s="468"/>
      <c r="I199" s="468"/>
      <c r="J199" s="468"/>
      <c r="K199" s="468"/>
      <c r="L199" s="468"/>
      <c r="M199" s="468"/>
      <c r="N199" s="469"/>
      <c r="O199" s="469"/>
      <c r="P199" s="465"/>
    </row>
    <row r="200" spans="1:16" s="464" customFormat="1" ht="24.75" customHeight="1" x14ac:dyDescent="0.25">
      <c r="A200" s="682"/>
      <c r="B200" s="565" t="s">
        <v>60</v>
      </c>
      <c r="C200" s="472"/>
      <c r="D200" s="570">
        <v>496</v>
      </c>
      <c r="E200" s="570">
        <v>496</v>
      </c>
      <c r="F200" s="570"/>
      <c r="G200" s="570"/>
      <c r="H200" s="570"/>
      <c r="I200" s="570"/>
      <c r="J200" s="570">
        <v>496</v>
      </c>
      <c r="K200" s="570">
        <v>496</v>
      </c>
      <c r="L200" s="570"/>
      <c r="M200" s="570"/>
      <c r="N200" s="571">
        <f>SUM(F200+H200+J200+L200)</f>
        <v>496</v>
      </c>
      <c r="O200" s="571">
        <f>SUM(G200+I200+K200+M200)</f>
        <v>496</v>
      </c>
      <c r="P200" s="465"/>
    </row>
    <row r="201" spans="1:16" s="172" customFormat="1" ht="37.5" customHeight="1" x14ac:dyDescent="0.25">
      <c r="A201" s="682"/>
      <c r="B201" s="525" t="s">
        <v>125</v>
      </c>
      <c r="C201" s="472"/>
      <c r="D201" s="469"/>
      <c r="E201" s="469"/>
      <c r="F201" s="469"/>
      <c r="G201" s="469"/>
      <c r="H201" s="469"/>
      <c r="I201" s="469"/>
      <c r="J201" s="469"/>
      <c r="K201" s="469"/>
      <c r="L201" s="469"/>
      <c r="M201" s="469"/>
      <c r="N201" s="469"/>
      <c r="O201" s="469"/>
      <c r="P201" s="175"/>
    </row>
    <row r="202" spans="1:16" s="172" customFormat="1" ht="26.25" customHeight="1" x14ac:dyDescent="0.25">
      <c r="A202" s="683"/>
      <c r="B202" s="474" t="s">
        <v>60</v>
      </c>
      <c r="C202" s="472"/>
      <c r="D202" s="468">
        <v>400</v>
      </c>
      <c r="E202" s="468">
        <v>400</v>
      </c>
      <c r="F202" s="468">
        <v>0</v>
      </c>
      <c r="G202" s="468">
        <v>0</v>
      </c>
      <c r="H202" s="468">
        <v>400</v>
      </c>
      <c r="I202" s="468">
        <v>200</v>
      </c>
      <c r="J202" s="468">
        <v>0</v>
      </c>
      <c r="K202" s="468">
        <v>0</v>
      </c>
      <c r="L202" s="468">
        <v>0</v>
      </c>
      <c r="M202" s="468">
        <v>0</v>
      </c>
      <c r="N202" s="469">
        <f>SUM(F202+H202+J202+L202)</f>
        <v>400</v>
      </c>
      <c r="O202" s="469">
        <f>SUM(G202+I202+K202+M202)</f>
        <v>200</v>
      </c>
      <c r="P202" s="175"/>
    </row>
    <row r="203" spans="1:16" ht="37.5" x14ac:dyDescent="0.2">
      <c r="A203" s="6" t="s">
        <v>56</v>
      </c>
      <c r="B203" s="36"/>
      <c r="C203" s="36"/>
      <c r="D203" s="475">
        <f t="shared" ref="D203:O203" si="41">SUM(D202+D196+D194+D192+D190+D188+D186+D184+D182+D180+D178+D176+D174+D172+D170+D168+D163+D198+D200)</f>
        <v>42689.5</v>
      </c>
      <c r="E203" s="569">
        <f t="shared" si="41"/>
        <v>42689.5</v>
      </c>
      <c r="F203" s="569">
        <f t="shared" si="41"/>
        <v>2880.3</v>
      </c>
      <c r="G203" s="569">
        <f t="shared" si="41"/>
        <v>1925.35</v>
      </c>
      <c r="H203" s="569">
        <f t="shared" si="41"/>
        <v>34189.399999999994</v>
      </c>
      <c r="I203" s="569">
        <f t="shared" si="41"/>
        <v>2004.9499999999998</v>
      </c>
      <c r="J203" s="569">
        <f t="shared" si="41"/>
        <v>5012.2</v>
      </c>
      <c r="K203" s="569">
        <f t="shared" si="41"/>
        <v>26979.090000000004</v>
      </c>
      <c r="L203" s="569">
        <f t="shared" si="41"/>
        <v>607.6</v>
      </c>
      <c r="M203" s="569">
        <f t="shared" si="41"/>
        <v>0</v>
      </c>
      <c r="N203" s="569">
        <f t="shared" si="41"/>
        <v>42689.5</v>
      </c>
      <c r="O203" s="569">
        <f t="shared" si="41"/>
        <v>30909.390000000003</v>
      </c>
    </row>
    <row r="204" spans="1:16" ht="20.25" customHeight="1" x14ac:dyDescent="0.2">
      <c r="A204" s="9"/>
      <c r="B204" s="22" t="s">
        <v>59</v>
      </c>
      <c r="C204" s="22"/>
      <c r="D204" s="475"/>
      <c r="E204" s="475"/>
      <c r="F204" s="475"/>
      <c r="G204" s="475"/>
      <c r="H204" s="475"/>
      <c r="I204" s="475"/>
      <c r="J204" s="475"/>
      <c r="K204" s="475"/>
      <c r="L204" s="475"/>
      <c r="M204" s="475"/>
      <c r="N204" s="475"/>
      <c r="O204" s="475"/>
    </row>
    <row r="205" spans="1:16" ht="15.75" x14ac:dyDescent="0.2">
      <c r="A205" s="9"/>
      <c r="B205" s="22" t="s">
        <v>60</v>
      </c>
      <c r="C205" s="22"/>
      <c r="D205" s="475">
        <f t="shared" ref="D205:O205" si="42">SUM(D202+D184+D182+D180+D178+D176+D174+D172+D170+D168+D165+D190+D188+D186+D196+D194+D192+D198+D200)</f>
        <v>27514.9</v>
      </c>
      <c r="E205" s="569">
        <f t="shared" si="42"/>
        <v>27514.9</v>
      </c>
      <c r="F205" s="569">
        <f t="shared" si="42"/>
        <v>2880.3</v>
      </c>
      <c r="G205" s="569">
        <f t="shared" si="42"/>
        <v>1925.35</v>
      </c>
      <c r="H205" s="569">
        <f t="shared" si="42"/>
        <v>19014.8</v>
      </c>
      <c r="I205" s="569">
        <f t="shared" si="42"/>
        <v>2004.9500000000003</v>
      </c>
      <c r="J205" s="569">
        <f t="shared" si="42"/>
        <v>5012.2</v>
      </c>
      <c r="K205" s="569">
        <f t="shared" si="42"/>
        <v>16631.990000000002</v>
      </c>
      <c r="L205" s="569">
        <f t="shared" si="42"/>
        <v>607.6</v>
      </c>
      <c r="M205" s="569">
        <f t="shared" si="42"/>
        <v>0</v>
      </c>
      <c r="N205" s="569">
        <f t="shared" si="42"/>
        <v>27514.9</v>
      </c>
      <c r="O205" s="569">
        <f t="shared" si="42"/>
        <v>20562.29</v>
      </c>
    </row>
    <row r="206" spans="1:16" s="1" customFormat="1" ht="32.25" customHeight="1" thickBot="1" x14ac:dyDescent="0.25">
      <c r="A206" s="9"/>
      <c r="B206" s="35" t="s">
        <v>61</v>
      </c>
      <c r="C206" s="80"/>
      <c r="D206" s="476">
        <f t="shared" ref="D206:O206" si="43">SUM(D166)</f>
        <v>15174.6</v>
      </c>
      <c r="E206" s="476">
        <f t="shared" si="43"/>
        <v>15174.6</v>
      </c>
      <c r="F206" s="476">
        <f t="shared" si="43"/>
        <v>0</v>
      </c>
      <c r="G206" s="476">
        <f t="shared" si="43"/>
        <v>0</v>
      </c>
      <c r="H206" s="476">
        <f t="shared" si="43"/>
        <v>15174.6</v>
      </c>
      <c r="I206" s="476">
        <f t="shared" si="43"/>
        <v>0</v>
      </c>
      <c r="J206" s="476">
        <f t="shared" si="43"/>
        <v>0</v>
      </c>
      <c r="K206" s="476">
        <f t="shared" si="43"/>
        <v>10347.1</v>
      </c>
      <c r="L206" s="476">
        <f t="shared" si="43"/>
        <v>0</v>
      </c>
      <c r="M206" s="476">
        <f t="shared" si="43"/>
        <v>0</v>
      </c>
      <c r="N206" s="476">
        <f t="shared" si="43"/>
        <v>15174.6</v>
      </c>
      <c r="O206" s="476">
        <f t="shared" si="43"/>
        <v>10347.1</v>
      </c>
    </row>
    <row r="207" spans="1:16" s="1" customFormat="1" ht="82.5" customHeight="1" thickBot="1" x14ac:dyDescent="0.25">
      <c r="A207" s="359" t="s">
        <v>87</v>
      </c>
      <c r="B207" s="10" t="s">
        <v>48</v>
      </c>
      <c r="C207" s="10"/>
      <c r="D207" s="11">
        <v>10341.299999999999</v>
      </c>
      <c r="E207" s="522">
        <v>10341.299999999999</v>
      </c>
      <c r="F207" s="11">
        <v>1515.5</v>
      </c>
      <c r="G207" s="11">
        <v>1515.5</v>
      </c>
      <c r="H207" s="11">
        <v>1982</v>
      </c>
      <c r="I207" s="11">
        <v>2515.1999999999998</v>
      </c>
      <c r="J207" s="11">
        <v>1981.9</v>
      </c>
      <c r="K207" s="11">
        <v>2409.6999999999998</v>
      </c>
      <c r="L207" s="11">
        <v>4861.8999999999996</v>
      </c>
      <c r="M207" s="11"/>
      <c r="N207" s="11">
        <f t="shared" ref="N207:O207" si="44">SUM(F207+H207+J207+L207)</f>
        <v>10341.299999999999</v>
      </c>
      <c r="O207" s="11">
        <f t="shared" si="44"/>
        <v>6440.4</v>
      </c>
    </row>
    <row r="208" spans="1:16" s="1" customFormat="1" ht="39.75" customHeight="1" x14ac:dyDescent="0.2">
      <c r="A208" s="38" t="s">
        <v>57</v>
      </c>
      <c r="B208" s="31"/>
      <c r="C208" s="31"/>
      <c r="D208" s="32">
        <f>SUM(D207+D203+D159)</f>
        <v>53116.800000000003</v>
      </c>
      <c r="E208" s="32">
        <f>SUM(E207+E203+E159)</f>
        <v>53116.800000000003</v>
      </c>
      <c r="F208" s="32">
        <f>SUM(F207+F203+F159)</f>
        <v>4395.8</v>
      </c>
      <c r="G208" s="32">
        <f>SUM(G207+G203+G159)</f>
        <v>3440.85</v>
      </c>
      <c r="H208" s="32">
        <f>SUM(H207+H203+H159)</f>
        <v>36171.399999999994</v>
      </c>
      <c r="I208" s="32">
        <f t="shared" ref="I208:O208" si="45">SUM(I207+I203)</f>
        <v>4520.1499999999996</v>
      </c>
      <c r="J208" s="32">
        <f>SUM(J207+J203+J159)</f>
        <v>6994.1</v>
      </c>
      <c r="K208" s="32">
        <f t="shared" si="45"/>
        <v>29388.790000000005</v>
      </c>
      <c r="L208" s="32">
        <f>SUM(L207+L203+L159)</f>
        <v>5555.5</v>
      </c>
      <c r="M208" s="32">
        <f t="shared" si="45"/>
        <v>0</v>
      </c>
      <c r="N208" s="32">
        <f>SUM(N207+N203+N159)</f>
        <v>53116.800000000003</v>
      </c>
      <c r="O208" s="32">
        <f t="shared" si="45"/>
        <v>37349.79</v>
      </c>
    </row>
    <row r="209" spans="1:15" s="1" customFormat="1" ht="24.75" customHeight="1" x14ac:dyDescent="0.2">
      <c r="A209" s="665"/>
      <c r="B209" s="41" t="s">
        <v>59</v>
      </c>
      <c r="C209" s="41"/>
      <c r="D209" s="48"/>
      <c r="E209" s="48"/>
      <c r="F209" s="48"/>
      <c r="G209" s="48"/>
      <c r="H209" s="48"/>
      <c r="I209" s="48"/>
      <c r="J209" s="48"/>
      <c r="K209" s="48"/>
      <c r="L209" s="48"/>
      <c r="M209" s="130"/>
      <c r="N209" s="49"/>
      <c r="O209" s="65"/>
    </row>
    <row r="210" spans="1:15" s="1" customFormat="1" ht="37.5" customHeight="1" x14ac:dyDescent="0.2">
      <c r="A210" s="666"/>
      <c r="B210" s="41" t="s">
        <v>60</v>
      </c>
      <c r="C210" s="41"/>
      <c r="D210" s="300">
        <f t="shared" ref="D210:L210" si="46">SUM(D207+D205+D161)</f>
        <v>37942.199999999997</v>
      </c>
      <c r="E210" s="300">
        <f t="shared" si="46"/>
        <v>37942.199999999997</v>
      </c>
      <c r="F210" s="300">
        <f t="shared" si="46"/>
        <v>4395.8</v>
      </c>
      <c r="G210" s="300">
        <f t="shared" si="46"/>
        <v>3440.85</v>
      </c>
      <c r="H210" s="300">
        <f t="shared" si="46"/>
        <v>20996.799999999999</v>
      </c>
      <c r="I210" s="300">
        <f t="shared" si="46"/>
        <v>4520.1499999999996</v>
      </c>
      <c r="J210" s="300">
        <f t="shared" si="46"/>
        <v>6994.1</v>
      </c>
      <c r="K210" s="300">
        <f t="shared" si="46"/>
        <v>19041.690000000002</v>
      </c>
      <c r="L210" s="300">
        <f t="shared" si="46"/>
        <v>5555.5</v>
      </c>
      <c r="M210" s="300">
        <f t="shared" ref="M210" si="47">SUM(M207+M205)</f>
        <v>0</v>
      </c>
      <c r="N210" s="300">
        <f>SUM(N207+N205+N161)</f>
        <v>37942.199999999997</v>
      </c>
      <c r="O210" s="300">
        <f>SUM(O207+O205+O161)</f>
        <v>27002.690000000002</v>
      </c>
    </row>
    <row r="211" spans="1:15" s="1" customFormat="1" ht="43.5" customHeight="1" thickBot="1" x14ac:dyDescent="0.25">
      <c r="A211" s="667"/>
      <c r="B211" s="42" t="s">
        <v>61</v>
      </c>
      <c r="C211" s="86"/>
      <c r="D211" s="300">
        <f t="shared" ref="D211:O211" si="48">SUM(D206)</f>
        <v>15174.6</v>
      </c>
      <c r="E211" s="300">
        <f t="shared" si="48"/>
        <v>15174.6</v>
      </c>
      <c r="F211" s="300">
        <f t="shared" si="48"/>
        <v>0</v>
      </c>
      <c r="G211" s="300">
        <f t="shared" si="48"/>
        <v>0</v>
      </c>
      <c r="H211" s="300">
        <f t="shared" si="48"/>
        <v>15174.6</v>
      </c>
      <c r="I211" s="300">
        <f t="shared" si="48"/>
        <v>0</v>
      </c>
      <c r="J211" s="300">
        <f t="shared" si="48"/>
        <v>0</v>
      </c>
      <c r="K211" s="300">
        <f t="shared" si="48"/>
        <v>10347.1</v>
      </c>
      <c r="L211" s="300">
        <f t="shared" si="48"/>
        <v>0</v>
      </c>
      <c r="M211" s="300">
        <f t="shared" si="48"/>
        <v>0</v>
      </c>
      <c r="N211" s="300">
        <f t="shared" si="48"/>
        <v>15174.6</v>
      </c>
      <c r="O211" s="300">
        <f t="shared" si="48"/>
        <v>10347.1</v>
      </c>
    </row>
    <row r="212" spans="1:15" s="1" customFormat="1" ht="40.5" customHeight="1" x14ac:dyDescent="0.25">
      <c r="A212" s="672" t="s">
        <v>24</v>
      </c>
      <c r="B212" s="673"/>
      <c r="C212" s="673"/>
      <c r="D212" s="673"/>
      <c r="E212" s="673"/>
      <c r="F212" s="673"/>
      <c r="G212" s="673"/>
      <c r="H212" s="673"/>
      <c r="I212" s="673"/>
      <c r="J212" s="673"/>
      <c r="K212" s="673"/>
      <c r="L212" s="673"/>
      <c r="M212" s="673"/>
      <c r="N212" s="673"/>
      <c r="O212" s="673"/>
    </row>
    <row r="213" spans="1:15" ht="57" customHeight="1" x14ac:dyDescent="0.2">
      <c r="A213" s="417" t="s">
        <v>25</v>
      </c>
      <c r="B213" s="358" t="s">
        <v>134</v>
      </c>
      <c r="C213" s="229"/>
      <c r="D213" s="353">
        <v>8582</v>
      </c>
      <c r="E213" s="353">
        <v>8582</v>
      </c>
      <c r="F213" s="353"/>
      <c r="G213" s="353"/>
      <c r="H213" s="353">
        <v>8582</v>
      </c>
      <c r="I213" s="353">
        <v>8352</v>
      </c>
      <c r="J213" s="353"/>
      <c r="K213" s="353"/>
      <c r="L213" s="353"/>
      <c r="M213" s="353"/>
      <c r="N213" s="395">
        <f t="shared" ref="N213" si="49">SUM(F213+H213+J213+L213)</f>
        <v>8582</v>
      </c>
      <c r="O213" s="252">
        <f>SUM(G213+I213+K213+M213)</f>
        <v>8352</v>
      </c>
    </row>
    <row r="214" spans="1:15" ht="53.25" customHeight="1" x14ac:dyDescent="0.2">
      <c r="A214" s="6" t="s">
        <v>12</v>
      </c>
      <c r="B214" s="36"/>
      <c r="C214" s="36"/>
      <c r="D214" s="7">
        <f t="shared" ref="D214:O214" si="50">SUM(D213)</f>
        <v>8582</v>
      </c>
      <c r="E214" s="7">
        <f t="shared" si="50"/>
        <v>8582</v>
      </c>
      <c r="F214" s="7">
        <f t="shared" si="50"/>
        <v>0</v>
      </c>
      <c r="G214" s="7">
        <f t="shared" si="50"/>
        <v>0</v>
      </c>
      <c r="H214" s="7">
        <f t="shared" si="50"/>
        <v>8582</v>
      </c>
      <c r="I214" s="7">
        <f t="shared" si="50"/>
        <v>8352</v>
      </c>
      <c r="J214" s="7">
        <f t="shared" si="50"/>
        <v>0</v>
      </c>
      <c r="K214" s="7">
        <f t="shared" si="50"/>
        <v>0</v>
      </c>
      <c r="L214" s="7">
        <f t="shared" si="50"/>
        <v>0</v>
      </c>
      <c r="M214" s="7">
        <f t="shared" si="50"/>
        <v>0</v>
      </c>
      <c r="N214" s="7">
        <f t="shared" si="50"/>
        <v>8582</v>
      </c>
      <c r="O214" s="7">
        <f t="shared" si="50"/>
        <v>8352</v>
      </c>
    </row>
    <row r="215" spans="1:15" ht="29.25" customHeight="1" x14ac:dyDescent="0.2">
      <c r="A215" s="6"/>
      <c r="B215" s="22" t="s">
        <v>59</v>
      </c>
      <c r="C215" s="2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30.75" customHeight="1" x14ac:dyDescent="0.2">
      <c r="A216" s="6"/>
      <c r="B216" s="22" t="s">
        <v>60</v>
      </c>
      <c r="C216" s="22"/>
      <c r="D216" s="7">
        <f t="shared" ref="D216:O216" si="51">SUM(D213)</f>
        <v>8582</v>
      </c>
      <c r="E216" s="7">
        <f t="shared" si="51"/>
        <v>8582</v>
      </c>
      <c r="F216" s="7">
        <f t="shared" si="51"/>
        <v>0</v>
      </c>
      <c r="G216" s="7">
        <f t="shared" si="51"/>
        <v>0</v>
      </c>
      <c r="H216" s="7">
        <f t="shared" si="51"/>
        <v>8582</v>
      </c>
      <c r="I216" s="7">
        <f t="shared" si="51"/>
        <v>8352</v>
      </c>
      <c r="J216" s="7">
        <f t="shared" si="51"/>
        <v>0</v>
      </c>
      <c r="K216" s="7">
        <f t="shared" si="51"/>
        <v>0</v>
      </c>
      <c r="L216" s="7">
        <f t="shared" si="51"/>
        <v>0</v>
      </c>
      <c r="M216" s="7">
        <f t="shared" si="51"/>
        <v>0</v>
      </c>
      <c r="N216" s="7">
        <f t="shared" si="51"/>
        <v>8582</v>
      </c>
      <c r="O216" s="7">
        <f t="shared" si="51"/>
        <v>8352</v>
      </c>
    </row>
    <row r="217" spans="1:15" ht="42" customHeight="1" x14ac:dyDescent="0.2">
      <c r="A217" s="6"/>
      <c r="B217" s="80" t="s">
        <v>61</v>
      </c>
      <c r="C217" s="80"/>
      <c r="D217" s="7"/>
      <c r="E217" s="7"/>
      <c r="F217" s="7">
        <v>0</v>
      </c>
      <c r="G217" s="7">
        <v>0</v>
      </c>
      <c r="H217" s="7">
        <v>0</v>
      </c>
      <c r="I217" s="7">
        <v>0</v>
      </c>
      <c r="J217" s="7"/>
      <c r="K217" s="7">
        <v>0</v>
      </c>
      <c r="L217" s="7"/>
      <c r="M217" s="7"/>
      <c r="N217" s="7"/>
      <c r="O217" s="7"/>
    </row>
    <row r="218" spans="1:15" ht="160.5" customHeight="1" x14ac:dyDescent="0.25">
      <c r="A218" s="606" t="s">
        <v>26</v>
      </c>
      <c r="B218" s="418" t="s">
        <v>63</v>
      </c>
      <c r="C218" s="213"/>
      <c r="D218" s="214">
        <v>65</v>
      </c>
      <c r="E218" s="214">
        <v>65</v>
      </c>
      <c r="F218" s="215"/>
      <c r="G218" s="215"/>
      <c r="H218" s="215"/>
      <c r="I218" s="215"/>
      <c r="J218" s="215"/>
      <c r="K218" s="215"/>
      <c r="L218" s="214">
        <v>65</v>
      </c>
      <c r="M218" s="215"/>
      <c r="N218" s="216">
        <f t="shared" ref="N218:N219" si="52">SUM(F218+H218+J218+L218)</f>
        <v>65</v>
      </c>
      <c r="O218" s="214">
        <f>SUM(G218+I218+K218+M218)</f>
        <v>0</v>
      </c>
    </row>
    <row r="219" spans="1:15" s="1" customFormat="1" ht="126.75" customHeight="1" x14ac:dyDescent="0.25">
      <c r="A219" s="602"/>
      <c r="B219" s="217" t="s">
        <v>70</v>
      </c>
      <c r="C219" s="217"/>
      <c r="D219" s="218">
        <v>65</v>
      </c>
      <c r="E219" s="218">
        <v>65</v>
      </c>
      <c r="F219" s="219"/>
      <c r="G219" s="219"/>
      <c r="H219" s="219"/>
      <c r="I219" s="219"/>
      <c r="J219" s="219"/>
      <c r="K219" s="219"/>
      <c r="L219" s="218">
        <v>65</v>
      </c>
      <c r="M219" s="219"/>
      <c r="N219" s="216">
        <f t="shared" si="52"/>
        <v>65</v>
      </c>
      <c r="O219" s="214">
        <f>SUM(G219+I219+K219+M219)</f>
        <v>0</v>
      </c>
    </row>
    <row r="220" spans="1:15" ht="54.75" customHeight="1" x14ac:dyDescent="0.2">
      <c r="A220" s="6" t="s">
        <v>12</v>
      </c>
      <c r="B220" s="36"/>
      <c r="C220" s="36"/>
      <c r="D220" s="7">
        <f t="shared" ref="D220:O220" si="53">SUM(D218+D219)</f>
        <v>130</v>
      </c>
      <c r="E220" s="7">
        <f t="shared" si="53"/>
        <v>130</v>
      </c>
      <c r="F220" s="7">
        <f t="shared" si="53"/>
        <v>0</v>
      </c>
      <c r="G220" s="7">
        <f t="shared" si="53"/>
        <v>0</v>
      </c>
      <c r="H220" s="7">
        <f t="shared" si="53"/>
        <v>0</v>
      </c>
      <c r="I220" s="7">
        <f t="shared" si="53"/>
        <v>0</v>
      </c>
      <c r="J220" s="7">
        <f t="shared" si="53"/>
        <v>0</v>
      </c>
      <c r="K220" s="7">
        <f t="shared" si="53"/>
        <v>0</v>
      </c>
      <c r="L220" s="7">
        <f t="shared" si="53"/>
        <v>130</v>
      </c>
      <c r="M220" s="7">
        <f t="shared" si="53"/>
        <v>0</v>
      </c>
      <c r="N220" s="7">
        <f t="shared" si="53"/>
        <v>130</v>
      </c>
      <c r="O220" s="7">
        <f t="shared" si="53"/>
        <v>0</v>
      </c>
    </row>
    <row r="221" spans="1:15" ht="35.25" customHeight="1" x14ac:dyDescent="0.2">
      <c r="A221" s="611"/>
      <c r="B221" s="22" t="s">
        <v>59</v>
      </c>
      <c r="C221" s="2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37"/>
    </row>
    <row r="222" spans="1:15" ht="36.75" customHeight="1" x14ac:dyDescent="0.2">
      <c r="A222" s="612"/>
      <c r="B222" s="22" t="s">
        <v>60</v>
      </c>
      <c r="C222" s="22"/>
      <c r="D222" s="7">
        <f t="shared" ref="D222:M222" si="54">SUM(D220+D221)</f>
        <v>130</v>
      </c>
      <c r="E222" s="7">
        <f t="shared" si="54"/>
        <v>130</v>
      </c>
      <c r="F222" s="7">
        <f t="shared" si="54"/>
        <v>0</v>
      </c>
      <c r="G222" s="7">
        <f t="shared" si="54"/>
        <v>0</v>
      </c>
      <c r="H222" s="7">
        <f t="shared" si="54"/>
        <v>0</v>
      </c>
      <c r="I222" s="7">
        <f t="shared" si="54"/>
        <v>0</v>
      </c>
      <c r="J222" s="7">
        <f t="shared" si="54"/>
        <v>0</v>
      </c>
      <c r="K222" s="7">
        <f t="shared" si="54"/>
        <v>0</v>
      </c>
      <c r="L222" s="7">
        <f t="shared" si="54"/>
        <v>130</v>
      </c>
      <c r="M222" s="7">
        <f t="shared" si="54"/>
        <v>0</v>
      </c>
      <c r="N222" s="7">
        <f>SUM(N220)</f>
        <v>130</v>
      </c>
      <c r="O222" s="7">
        <f>SUM(O220)</f>
        <v>0</v>
      </c>
    </row>
    <row r="223" spans="1:15" ht="39.75" customHeight="1" thickBot="1" x14ac:dyDescent="0.25">
      <c r="A223" s="613"/>
      <c r="B223" s="35" t="s">
        <v>61</v>
      </c>
      <c r="C223" s="80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38"/>
    </row>
    <row r="224" spans="1:15" ht="120" customHeight="1" x14ac:dyDescent="0.2">
      <c r="A224" s="356" t="s">
        <v>53</v>
      </c>
      <c r="B224" s="58" t="s">
        <v>54</v>
      </c>
      <c r="C224" s="58"/>
      <c r="D224" s="19">
        <v>3617.2</v>
      </c>
      <c r="E224" s="19">
        <v>3617.2</v>
      </c>
      <c r="F224" s="19">
        <v>846.6</v>
      </c>
      <c r="G224" s="19">
        <v>846.6</v>
      </c>
      <c r="H224" s="19">
        <v>923.6</v>
      </c>
      <c r="I224" s="19">
        <v>786.3</v>
      </c>
      <c r="J224" s="19">
        <v>923.5</v>
      </c>
      <c r="K224" s="19">
        <v>948.9</v>
      </c>
      <c r="L224" s="19">
        <v>923.5</v>
      </c>
      <c r="M224" s="13"/>
      <c r="N224" s="142">
        <f>SUM(F224+H224+J224+L224)</f>
        <v>3617.2</v>
      </c>
      <c r="O224" s="143">
        <f>SUM(G224+I224+K224+M224)</f>
        <v>2581.8000000000002</v>
      </c>
    </row>
    <row r="225" spans="1:16" s="1" customFormat="1" ht="113.25" customHeight="1" x14ac:dyDescent="0.2">
      <c r="A225" s="357" t="s">
        <v>71</v>
      </c>
      <c r="B225" s="145" t="s">
        <v>88</v>
      </c>
      <c r="C225" s="145"/>
      <c r="D225" s="7">
        <v>200</v>
      </c>
      <c r="E225" s="7">
        <v>200</v>
      </c>
      <c r="F225" s="7">
        <v>0</v>
      </c>
      <c r="G225" s="7">
        <v>0</v>
      </c>
      <c r="H225" s="7"/>
      <c r="I225" s="7"/>
      <c r="J225" s="7">
        <v>200</v>
      </c>
      <c r="K225" s="7"/>
      <c r="L225" s="7">
        <v>0</v>
      </c>
      <c r="M225" s="7"/>
      <c r="N225" s="140">
        <f>SUM(F225+H225+J225+L225)</f>
        <v>200</v>
      </c>
      <c r="O225" s="141">
        <f>SUM(G225+I225+K225+M225)</f>
        <v>0</v>
      </c>
    </row>
    <row r="226" spans="1:16" s="1" customFormat="1" ht="46.5" customHeight="1" x14ac:dyDescent="0.2">
      <c r="A226" s="30" t="s">
        <v>2</v>
      </c>
      <c r="B226" s="39"/>
      <c r="C226" s="39"/>
      <c r="D226" s="33">
        <f t="shared" ref="D226:O226" si="55">SUM(D224+D220+D214+D225)</f>
        <v>12529.2</v>
      </c>
      <c r="E226" s="33">
        <f t="shared" si="55"/>
        <v>12529.2</v>
      </c>
      <c r="F226" s="33">
        <f t="shared" si="55"/>
        <v>846.6</v>
      </c>
      <c r="G226" s="33">
        <f t="shared" si="55"/>
        <v>846.6</v>
      </c>
      <c r="H226" s="33">
        <f t="shared" si="55"/>
        <v>9505.6</v>
      </c>
      <c r="I226" s="33">
        <f t="shared" si="55"/>
        <v>9138.2999999999993</v>
      </c>
      <c r="J226" s="33">
        <f t="shared" si="55"/>
        <v>1123.5</v>
      </c>
      <c r="K226" s="33">
        <f t="shared" si="55"/>
        <v>948.9</v>
      </c>
      <c r="L226" s="33">
        <f t="shared" si="55"/>
        <v>1053.5</v>
      </c>
      <c r="M226" s="33">
        <f t="shared" si="55"/>
        <v>0</v>
      </c>
      <c r="N226" s="33">
        <f t="shared" si="55"/>
        <v>12529.2</v>
      </c>
      <c r="O226" s="33">
        <f t="shared" si="55"/>
        <v>10933.8</v>
      </c>
    </row>
    <row r="227" spans="1:16" s="1" customFormat="1" ht="31.5" customHeight="1" x14ac:dyDescent="0.2">
      <c r="A227" s="30"/>
      <c r="B227" s="41" t="s">
        <v>59</v>
      </c>
      <c r="C227" s="4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65"/>
    </row>
    <row r="228" spans="1:16" s="1" customFormat="1" ht="33.75" customHeight="1" x14ac:dyDescent="0.2">
      <c r="A228" s="30"/>
      <c r="B228" s="41" t="s">
        <v>60</v>
      </c>
      <c r="C228" s="41"/>
      <c r="D228" s="33">
        <f t="shared" ref="D228:O228" si="56">SUM(D224+D222+D216+D225)</f>
        <v>12529.2</v>
      </c>
      <c r="E228" s="33">
        <f t="shared" si="56"/>
        <v>12529.2</v>
      </c>
      <c r="F228" s="33">
        <f t="shared" si="56"/>
        <v>846.6</v>
      </c>
      <c r="G228" s="33">
        <f t="shared" si="56"/>
        <v>846.6</v>
      </c>
      <c r="H228" s="33">
        <f t="shared" si="56"/>
        <v>9505.6</v>
      </c>
      <c r="I228" s="33">
        <f t="shared" si="56"/>
        <v>9138.2999999999993</v>
      </c>
      <c r="J228" s="33">
        <f t="shared" si="56"/>
        <v>1123.5</v>
      </c>
      <c r="K228" s="33">
        <f t="shared" si="56"/>
        <v>948.9</v>
      </c>
      <c r="L228" s="33">
        <f t="shared" si="56"/>
        <v>1053.5</v>
      </c>
      <c r="M228" s="33">
        <f t="shared" si="56"/>
        <v>0</v>
      </c>
      <c r="N228" s="33">
        <f t="shared" si="56"/>
        <v>12529.2</v>
      </c>
      <c r="O228" s="33">
        <f t="shared" si="56"/>
        <v>10933.8</v>
      </c>
    </row>
    <row r="229" spans="1:16" s="1" customFormat="1" ht="41.25" customHeight="1" x14ac:dyDescent="0.2">
      <c r="A229" s="243"/>
      <c r="B229" s="86" t="s">
        <v>61</v>
      </c>
      <c r="C229" s="86"/>
      <c r="D229" s="244">
        <f t="shared" ref="D229:N229" si="57">SUM(D223+D217)</f>
        <v>0</v>
      </c>
      <c r="E229" s="244">
        <f t="shared" si="57"/>
        <v>0</v>
      </c>
      <c r="F229" s="244">
        <f t="shared" si="57"/>
        <v>0</v>
      </c>
      <c r="G229" s="244">
        <f t="shared" si="57"/>
        <v>0</v>
      </c>
      <c r="H229" s="244">
        <f t="shared" si="57"/>
        <v>0</v>
      </c>
      <c r="I229" s="244">
        <f t="shared" si="57"/>
        <v>0</v>
      </c>
      <c r="J229" s="244">
        <f t="shared" si="57"/>
        <v>0</v>
      </c>
      <c r="K229" s="244">
        <f t="shared" si="57"/>
        <v>0</v>
      </c>
      <c r="L229" s="244">
        <f t="shared" si="57"/>
        <v>0</v>
      </c>
      <c r="M229" s="244">
        <f t="shared" si="57"/>
        <v>0</v>
      </c>
      <c r="N229" s="244">
        <f t="shared" si="57"/>
        <v>0</v>
      </c>
      <c r="O229" s="416">
        <f>SUM(O217)</f>
        <v>0</v>
      </c>
    </row>
    <row r="230" spans="1:16" s="1" customFormat="1" ht="27.75" customHeight="1" x14ac:dyDescent="0.25">
      <c r="A230" s="614" t="s">
        <v>27</v>
      </c>
      <c r="B230" s="608"/>
      <c r="C230" s="608"/>
      <c r="D230" s="608"/>
      <c r="E230" s="608"/>
      <c r="F230" s="608"/>
      <c r="G230" s="608"/>
      <c r="H230" s="608"/>
      <c r="I230" s="608"/>
      <c r="J230" s="608"/>
      <c r="K230" s="608"/>
      <c r="L230" s="608"/>
      <c r="M230" s="608"/>
      <c r="N230" s="609"/>
      <c r="O230" s="610"/>
    </row>
    <row r="231" spans="1:16" s="1" customFormat="1" ht="54.75" customHeight="1" x14ac:dyDescent="0.2">
      <c r="A231" s="423" t="s">
        <v>66</v>
      </c>
      <c r="B231" s="246" t="s">
        <v>89</v>
      </c>
      <c r="C231" s="312"/>
      <c r="D231" s="209">
        <v>3500</v>
      </c>
      <c r="E231" s="209">
        <v>3500</v>
      </c>
      <c r="F231" s="190">
        <v>555.79999999999995</v>
      </c>
      <c r="G231" s="190">
        <v>555.79999999999995</v>
      </c>
      <c r="H231" s="190">
        <v>981.4</v>
      </c>
      <c r="I231" s="341">
        <v>1271.5999999999999</v>
      </c>
      <c r="J231" s="190">
        <v>981.4</v>
      </c>
      <c r="K231" s="210">
        <v>619.79999999999995</v>
      </c>
      <c r="L231" s="260">
        <v>981.4</v>
      </c>
      <c r="M231" s="342"/>
      <c r="N231" s="343">
        <f t="shared" ref="N231:O231" si="58">SUM(F231+H231+J231+L231)</f>
        <v>3500</v>
      </c>
      <c r="O231" s="343">
        <f t="shared" si="58"/>
        <v>2447.1999999999998</v>
      </c>
    </row>
    <row r="232" spans="1:16" ht="18" customHeight="1" x14ac:dyDescent="0.2">
      <c r="A232" s="379" t="s">
        <v>12</v>
      </c>
      <c r="B232" s="36"/>
      <c r="C232" s="36"/>
      <c r="D232" s="72">
        <f t="shared" ref="D232:O232" si="59">SUM(D231)</f>
        <v>3500</v>
      </c>
      <c r="E232" s="72">
        <f t="shared" si="59"/>
        <v>3500</v>
      </c>
      <c r="F232" s="72">
        <f t="shared" si="59"/>
        <v>555.79999999999995</v>
      </c>
      <c r="G232" s="72">
        <f t="shared" si="59"/>
        <v>555.79999999999995</v>
      </c>
      <c r="H232" s="72">
        <f t="shared" si="59"/>
        <v>981.4</v>
      </c>
      <c r="I232" s="72">
        <f t="shared" si="59"/>
        <v>1271.5999999999999</v>
      </c>
      <c r="J232" s="72">
        <f t="shared" si="59"/>
        <v>981.4</v>
      </c>
      <c r="K232" s="72">
        <f t="shared" si="59"/>
        <v>619.79999999999995</v>
      </c>
      <c r="L232" s="72">
        <f t="shared" si="59"/>
        <v>981.4</v>
      </c>
      <c r="M232" s="72">
        <f t="shared" si="59"/>
        <v>0</v>
      </c>
      <c r="N232" s="72">
        <f t="shared" si="59"/>
        <v>3500</v>
      </c>
      <c r="O232" s="72">
        <f t="shared" si="59"/>
        <v>2447.1999999999998</v>
      </c>
    </row>
    <row r="233" spans="1:16" ht="26.25" customHeight="1" x14ac:dyDescent="0.2">
      <c r="A233" s="424"/>
      <c r="B233" s="22" t="s">
        <v>59</v>
      </c>
      <c r="C233" s="22"/>
      <c r="D233" s="72"/>
      <c r="E233" s="72"/>
      <c r="F233" s="73"/>
      <c r="G233" s="73"/>
      <c r="H233" s="73"/>
      <c r="I233" s="73"/>
      <c r="J233" s="74"/>
      <c r="K233" s="74"/>
      <c r="L233" s="75"/>
      <c r="M233" s="74"/>
      <c r="N233" s="76"/>
      <c r="O233" s="12"/>
    </row>
    <row r="234" spans="1:16" ht="37.5" customHeight="1" x14ac:dyDescent="0.2">
      <c r="A234" s="424"/>
      <c r="B234" s="22" t="s">
        <v>60</v>
      </c>
      <c r="C234" s="22"/>
      <c r="D234" s="72">
        <f t="shared" ref="D234:O234" si="60">SUM(D231)</f>
        <v>3500</v>
      </c>
      <c r="E234" s="72">
        <f t="shared" si="60"/>
        <v>3500</v>
      </c>
      <c r="F234" s="72">
        <f t="shared" si="60"/>
        <v>555.79999999999995</v>
      </c>
      <c r="G234" s="72">
        <f t="shared" si="60"/>
        <v>555.79999999999995</v>
      </c>
      <c r="H234" s="72">
        <f t="shared" si="60"/>
        <v>981.4</v>
      </c>
      <c r="I234" s="72">
        <f t="shared" si="60"/>
        <v>1271.5999999999999</v>
      </c>
      <c r="J234" s="72">
        <f t="shared" si="60"/>
        <v>981.4</v>
      </c>
      <c r="K234" s="72">
        <f t="shared" si="60"/>
        <v>619.79999999999995</v>
      </c>
      <c r="L234" s="72">
        <f t="shared" si="60"/>
        <v>981.4</v>
      </c>
      <c r="M234" s="72">
        <f t="shared" si="60"/>
        <v>0</v>
      </c>
      <c r="N234" s="72">
        <f t="shared" si="60"/>
        <v>3500</v>
      </c>
      <c r="O234" s="72">
        <f t="shared" si="60"/>
        <v>2447.1999999999998</v>
      </c>
    </row>
    <row r="235" spans="1:16" ht="35.25" customHeight="1" thickBot="1" x14ac:dyDescent="0.25">
      <c r="A235" s="379"/>
      <c r="B235" s="35" t="s">
        <v>61</v>
      </c>
      <c r="C235" s="80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36"/>
    </row>
    <row r="236" spans="1:16" ht="54.75" customHeight="1" x14ac:dyDescent="0.2">
      <c r="A236" s="419" t="s">
        <v>28</v>
      </c>
      <c r="B236" s="204" t="s">
        <v>89</v>
      </c>
      <c r="C236" s="313"/>
      <c r="D236" s="205">
        <v>1475</v>
      </c>
      <c r="E236" s="205">
        <v>1475</v>
      </c>
      <c r="F236" s="206">
        <v>461.8</v>
      </c>
      <c r="G236" s="206">
        <v>461.8</v>
      </c>
      <c r="H236" s="206">
        <v>337.8</v>
      </c>
      <c r="I236" s="206">
        <v>452.5</v>
      </c>
      <c r="J236" s="206">
        <v>337.7</v>
      </c>
      <c r="K236" s="207">
        <v>251.9</v>
      </c>
      <c r="L236" s="206">
        <v>337.7</v>
      </c>
      <c r="M236" s="206"/>
      <c r="N236" s="208">
        <f t="shared" ref="N236:O236" si="61">SUM(F236+H236+J236+L236)</f>
        <v>1475</v>
      </c>
      <c r="O236" s="208">
        <f t="shared" si="61"/>
        <v>1166.2</v>
      </c>
    </row>
    <row r="237" spans="1:16" s="1" customFormat="1" ht="47.25" customHeight="1" x14ac:dyDescent="0.2">
      <c r="A237" s="6" t="s">
        <v>12</v>
      </c>
      <c r="B237" s="36"/>
      <c r="C237" s="36"/>
      <c r="D237" s="77">
        <f>SUM(D236)</f>
        <v>1475</v>
      </c>
      <c r="E237" s="77">
        <f t="shared" ref="E237:O237" si="62">SUM(E236)</f>
        <v>1475</v>
      </c>
      <c r="F237" s="77">
        <f t="shared" si="62"/>
        <v>461.8</v>
      </c>
      <c r="G237" s="77">
        <f t="shared" si="62"/>
        <v>461.8</v>
      </c>
      <c r="H237" s="77">
        <f t="shared" si="62"/>
        <v>337.8</v>
      </c>
      <c r="I237" s="77">
        <f t="shared" si="62"/>
        <v>452.5</v>
      </c>
      <c r="J237" s="77">
        <f t="shared" si="62"/>
        <v>337.7</v>
      </c>
      <c r="K237" s="77">
        <v>3</v>
      </c>
      <c r="L237" s="77">
        <f t="shared" si="62"/>
        <v>337.7</v>
      </c>
      <c r="M237" s="77">
        <f t="shared" si="62"/>
        <v>0</v>
      </c>
      <c r="N237" s="77">
        <f t="shared" si="62"/>
        <v>1475</v>
      </c>
      <c r="O237" s="77">
        <f t="shared" si="62"/>
        <v>1166.2</v>
      </c>
    </row>
    <row r="238" spans="1:16" ht="27.75" customHeight="1" x14ac:dyDescent="0.2">
      <c r="A238" s="611"/>
      <c r="B238" s="22" t="s">
        <v>59</v>
      </c>
      <c r="C238" s="22"/>
      <c r="D238" s="77"/>
      <c r="E238" s="77"/>
      <c r="F238" s="77"/>
      <c r="G238" s="77"/>
      <c r="H238" s="77"/>
      <c r="I238" s="77"/>
      <c r="J238" s="78"/>
      <c r="K238" s="78"/>
      <c r="L238" s="78"/>
      <c r="M238" s="74"/>
      <c r="N238" s="79"/>
      <c r="O238" s="12"/>
    </row>
    <row r="239" spans="1:16" ht="21" customHeight="1" x14ac:dyDescent="0.2">
      <c r="A239" s="612"/>
      <c r="B239" s="22" t="s">
        <v>60</v>
      </c>
      <c r="C239" s="22"/>
      <c r="D239" s="77">
        <f t="shared" ref="D239:O239" si="63">SUM(D236)</f>
        <v>1475</v>
      </c>
      <c r="E239" s="77">
        <f t="shared" si="63"/>
        <v>1475</v>
      </c>
      <c r="F239" s="77">
        <f t="shared" si="63"/>
        <v>461.8</v>
      </c>
      <c r="G239" s="77">
        <f t="shared" si="63"/>
        <v>461.8</v>
      </c>
      <c r="H239" s="77">
        <f t="shared" si="63"/>
        <v>337.8</v>
      </c>
      <c r="I239" s="77">
        <f t="shared" si="63"/>
        <v>452.5</v>
      </c>
      <c r="J239" s="77">
        <f t="shared" si="63"/>
        <v>337.7</v>
      </c>
      <c r="K239" s="77">
        <f t="shared" si="63"/>
        <v>251.9</v>
      </c>
      <c r="L239" s="77">
        <f t="shared" si="63"/>
        <v>337.7</v>
      </c>
      <c r="M239" s="77">
        <f t="shared" si="63"/>
        <v>0</v>
      </c>
      <c r="N239" s="77">
        <f t="shared" si="63"/>
        <v>1475</v>
      </c>
      <c r="O239" s="77">
        <f t="shared" si="63"/>
        <v>1166.2</v>
      </c>
      <c r="P239" s="99"/>
    </row>
    <row r="240" spans="1:16" ht="31.5" x14ac:dyDescent="0.2">
      <c r="A240" s="612"/>
      <c r="B240" s="80" t="s">
        <v>61</v>
      </c>
      <c r="C240" s="80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6"/>
      <c r="P240" s="99"/>
    </row>
    <row r="241" spans="1:16" ht="18.75" x14ac:dyDescent="0.2">
      <c r="A241" s="28" t="s">
        <v>2</v>
      </c>
      <c r="B241" s="39"/>
      <c r="C241" s="39"/>
      <c r="D241" s="33">
        <f t="shared" ref="D241:O241" si="64">SUM(D237+D232)</f>
        <v>4975</v>
      </c>
      <c r="E241" s="33">
        <f t="shared" si="64"/>
        <v>4975</v>
      </c>
      <c r="F241" s="33">
        <f t="shared" si="64"/>
        <v>1017.5999999999999</v>
      </c>
      <c r="G241" s="33">
        <f t="shared" si="64"/>
        <v>1017.5999999999999</v>
      </c>
      <c r="H241" s="33">
        <f t="shared" si="64"/>
        <v>1319.2</v>
      </c>
      <c r="I241" s="33">
        <f t="shared" si="64"/>
        <v>1724.1</v>
      </c>
      <c r="J241" s="33">
        <f t="shared" si="64"/>
        <v>1319.1</v>
      </c>
      <c r="K241" s="33">
        <f t="shared" si="64"/>
        <v>622.79999999999995</v>
      </c>
      <c r="L241" s="33">
        <f t="shared" si="64"/>
        <v>1319.1</v>
      </c>
      <c r="M241" s="33">
        <f t="shared" si="64"/>
        <v>0</v>
      </c>
      <c r="N241" s="33">
        <f t="shared" si="64"/>
        <v>4975</v>
      </c>
      <c r="O241" s="33">
        <f t="shared" si="64"/>
        <v>3613.3999999999996</v>
      </c>
      <c r="P241" s="99"/>
    </row>
    <row r="242" spans="1:16" s="1" customFormat="1" ht="32.25" customHeight="1" x14ac:dyDescent="0.2">
      <c r="A242" s="81"/>
      <c r="B242" s="41" t="s">
        <v>59</v>
      </c>
      <c r="C242" s="4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65"/>
      <c r="P242" s="147"/>
    </row>
    <row r="243" spans="1:16" s="1" customFormat="1" ht="32.25" customHeight="1" x14ac:dyDescent="0.2">
      <c r="A243" s="81"/>
      <c r="B243" s="41" t="s">
        <v>60</v>
      </c>
      <c r="C243" s="41"/>
      <c r="D243" s="33">
        <f t="shared" ref="D243:O243" si="65">SUM(D239+D234)</f>
        <v>4975</v>
      </c>
      <c r="E243" s="33">
        <f t="shared" si="65"/>
        <v>4975</v>
      </c>
      <c r="F243" s="33">
        <f t="shared" si="65"/>
        <v>1017.5999999999999</v>
      </c>
      <c r="G243" s="33">
        <f t="shared" si="65"/>
        <v>1017.5999999999999</v>
      </c>
      <c r="H243" s="33">
        <f t="shared" si="65"/>
        <v>1319.2</v>
      </c>
      <c r="I243" s="33">
        <f t="shared" si="65"/>
        <v>1724.1</v>
      </c>
      <c r="J243" s="33">
        <f t="shared" si="65"/>
        <v>1319.1</v>
      </c>
      <c r="K243" s="33">
        <f t="shared" si="65"/>
        <v>871.69999999999993</v>
      </c>
      <c r="L243" s="33">
        <f t="shared" si="65"/>
        <v>1319.1</v>
      </c>
      <c r="M243" s="33">
        <f t="shared" si="65"/>
        <v>0</v>
      </c>
      <c r="N243" s="33">
        <f t="shared" si="65"/>
        <v>4975</v>
      </c>
      <c r="O243" s="33">
        <f t="shared" si="65"/>
        <v>3613.3999999999996</v>
      </c>
    </row>
    <row r="244" spans="1:16" s="1" customFormat="1" ht="32.25" customHeight="1" x14ac:dyDescent="0.2">
      <c r="A244" s="28"/>
      <c r="B244" s="86" t="s">
        <v>61</v>
      </c>
      <c r="C244" s="305"/>
      <c r="D244" s="29">
        <f t="shared" ref="D244:M244" si="66">SUM(D240+D235)</f>
        <v>0</v>
      </c>
      <c r="E244" s="29">
        <f t="shared" si="66"/>
        <v>0</v>
      </c>
      <c r="F244" s="29">
        <f t="shared" si="66"/>
        <v>0</v>
      </c>
      <c r="G244" s="29">
        <f t="shared" si="66"/>
        <v>0</v>
      </c>
      <c r="H244" s="29">
        <f t="shared" si="66"/>
        <v>0</v>
      </c>
      <c r="I244" s="29">
        <f t="shared" si="66"/>
        <v>0</v>
      </c>
      <c r="J244" s="29">
        <f t="shared" si="66"/>
        <v>0</v>
      </c>
      <c r="K244" s="29">
        <f t="shared" si="66"/>
        <v>0</v>
      </c>
      <c r="L244" s="29">
        <f t="shared" si="66"/>
        <v>0</v>
      </c>
      <c r="M244" s="29">
        <f t="shared" si="66"/>
        <v>0</v>
      </c>
      <c r="N244" s="244"/>
      <c r="O244" s="245"/>
    </row>
    <row r="245" spans="1:16" s="1" customFormat="1" ht="32.25" customHeight="1" x14ac:dyDescent="0.25">
      <c r="A245" s="607" t="s">
        <v>29</v>
      </c>
      <c r="B245" s="608"/>
      <c r="C245" s="608"/>
      <c r="D245" s="608"/>
      <c r="E245" s="608"/>
      <c r="F245" s="608"/>
      <c r="G245" s="608"/>
      <c r="H245" s="608"/>
      <c r="I245" s="608"/>
      <c r="J245" s="608"/>
      <c r="K245" s="608"/>
      <c r="L245" s="608"/>
      <c r="M245" s="608"/>
      <c r="N245" s="609"/>
      <c r="O245" s="610"/>
    </row>
    <row r="246" spans="1:16" s="1" customFormat="1" ht="58.5" customHeight="1" x14ac:dyDescent="0.2">
      <c r="A246" s="615" t="s">
        <v>195</v>
      </c>
      <c r="B246" s="526" t="s">
        <v>153</v>
      </c>
      <c r="C246" s="378"/>
      <c r="D246" s="427">
        <v>803</v>
      </c>
      <c r="E246" s="427">
        <v>803</v>
      </c>
      <c r="F246" s="378"/>
      <c r="G246" s="378"/>
      <c r="H246" s="432">
        <v>667.7</v>
      </c>
      <c r="I246" s="432">
        <v>667.7</v>
      </c>
      <c r="J246" s="378"/>
      <c r="K246" s="378"/>
      <c r="L246" s="427">
        <v>135.30000000000001</v>
      </c>
      <c r="M246" s="378"/>
      <c r="N246" s="428">
        <f>SUM(F246+H246+J246+L246)</f>
        <v>803</v>
      </c>
      <c r="O246" s="428">
        <f>SUM(G246+I246+K246+K246+M246)</f>
        <v>667.7</v>
      </c>
    </row>
    <row r="247" spans="1:16" s="1" customFormat="1" ht="32.25" customHeight="1" x14ac:dyDescent="0.25">
      <c r="A247" s="616"/>
      <c r="B247" s="527" t="s">
        <v>59</v>
      </c>
      <c r="C247" s="378"/>
      <c r="D247" s="378"/>
      <c r="E247" s="378"/>
      <c r="F247" s="378"/>
      <c r="G247" s="378"/>
      <c r="H247" s="432"/>
      <c r="I247" s="432"/>
      <c r="J247" s="378"/>
      <c r="K247" s="378"/>
      <c r="L247" s="378"/>
      <c r="M247" s="378"/>
      <c r="N247" s="553"/>
      <c r="O247" s="553"/>
    </row>
    <row r="248" spans="1:16" s="1" customFormat="1" ht="32.25" customHeight="1" x14ac:dyDescent="0.2">
      <c r="A248" s="616"/>
      <c r="B248" s="527" t="s">
        <v>60</v>
      </c>
      <c r="C248" s="378"/>
      <c r="D248" s="427">
        <v>803</v>
      </c>
      <c r="E248" s="427">
        <v>803</v>
      </c>
      <c r="F248" s="378"/>
      <c r="G248" s="378"/>
      <c r="H248" s="432">
        <v>667.7</v>
      </c>
      <c r="I248" s="432">
        <v>667.7</v>
      </c>
      <c r="J248" s="378"/>
      <c r="K248" s="378"/>
      <c r="L248" s="427">
        <v>135.30000000000001</v>
      </c>
      <c r="M248" s="378"/>
      <c r="N248" s="428">
        <f>SUM(F248+H248+J248+L248)</f>
        <v>803</v>
      </c>
      <c r="O248" s="428">
        <f>SUM(G248+I248+K248+K248+M248)</f>
        <v>667.7</v>
      </c>
    </row>
    <row r="249" spans="1:16" s="1" customFormat="1" ht="32.25" customHeight="1" x14ac:dyDescent="0.25">
      <c r="A249" s="616"/>
      <c r="B249" s="527" t="s">
        <v>61</v>
      </c>
      <c r="C249" s="378"/>
      <c r="D249" s="378"/>
      <c r="E249" s="378"/>
      <c r="F249" s="378"/>
      <c r="G249" s="378"/>
      <c r="H249" s="378"/>
      <c r="I249" s="378"/>
      <c r="J249" s="378"/>
      <c r="K249" s="378"/>
      <c r="L249" s="378"/>
      <c r="M249" s="378"/>
      <c r="N249" s="553"/>
      <c r="O249" s="553"/>
    </row>
    <row r="250" spans="1:16" s="1" customFormat="1" ht="100.5" customHeight="1" x14ac:dyDescent="0.2">
      <c r="A250" s="616"/>
      <c r="B250" s="527" t="s">
        <v>154</v>
      </c>
      <c r="C250" s="378"/>
      <c r="D250" s="533">
        <v>4342.2</v>
      </c>
      <c r="E250" s="533">
        <v>4342.2</v>
      </c>
      <c r="F250" s="534">
        <v>1255.8</v>
      </c>
      <c r="G250" s="534">
        <v>1255.8</v>
      </c>
      <c r="H250" s="534">
        <v>1714.2</v>
      </c>
      <c r="I250" s="534">
        <v>368.9</v>
      </c>
      <c r="J250" s="534">
        <v>1372.2</v>
      </c>
      <c r="K250" s="534">
        <v>965.7</v>
      </c>
      <c r="L250" s="534"/>
      <c r="M250" s="534"/>
      <c r="N250" s="535">
        <f>SUM(F250+H250+J250+L250)</f>
        <v>4342.2</v>
      </c>
      <c r="O250" s="536">
        <f>SUM(G250+I250+K250+M250)</f>
        <v>2590.3999999999996</v>
      </c>
    </row>
    <row r="251" spans="1:16" s="1" customFormat="1" ht="26.25" customHeight="1" x14ac:dyDescent="0.2">
      <c r="A251" s="616"/>
      <c r="B251" s="527" t="s">
        <v>59</v>
      </c>
      <c r="C251" s="378"/>
      <c r="D251" s="537"/>
      <c r="E251" s="537"/>
      <c r="F251" s="537"/>
      <c r="G251" s="537"/>
      <c r="H251" s="537"/>
      <c r="I251" s="537"/>
      <c r="J251" s="537"/>
      <c r="K251" s="537"/>
      <c r="L251" s="537"/>
      <c r="M251" s="537"/>
      <c r="N251" s="538"/>
      <c r="O251" s="538"/>
    </row>
    <row r="252" spans="1:16" s="1" customFormat="1" ht="32.25" customHeight="1" x14ac:dyDescent="0.2">
      <c r="A252" s="616"/>
      <c r="B252" s="527" t="s">
        <v>60</v>
      </c>
      <c r="C252" s="378"/>
      <c r="D252" s="533">
        <v>4342.2</v>
      </c>
      <c r="E252" s="533">
        <v>4342.2</v>
      </c>
      <c r="F252" s="534">
        <v>1255.8</v>
      </c>
      <c r="G252" s="534">
        <v>1255.8</v>
      </c>
      <c r="H252" s="534">
        <v>1714.2</v>
      </c>
      <c r="I252" s="534">
        <v>368.9</v>
      </c>
      <c r="J252" s="534">
        <v>1372.2</v>
      </c>
      <c r="K252" s="534">
        <v>965.7</v>
      </c>
      <c r="L252" s="534"/>
      <c r="M252" s="534"/>
      <c r="N252" s="535">
        <f>SUM(F252+H252+J252+L252)</f>
        <v>4342.2</v>
      </c>
      <c r="O252" s="536">
        <f>SUM(G252+I252+K252+M252)</f>
        <v>2590.3999999999996</v>
      </c>
    </row>
    <row r="253" spans="1:16" s="1" customFormat="1" ht="32.25" customHeight="1" x14ac:dyDescent="0.25">
      <c r="A253" s="616"/>
      <c r="B253" s="527" t="s">
        <v>61</v>
      </c>
      <c r="C253" s="378"/>
      <c r="D253" s="378"/>
      <c r="E253" s="378"/>
      <c r="F253" s="378"/>
      <c r="G253" s="378"/>
      <c r="H253" s="378"/>
      <c r="I253" s="378"/>
      <c r="J253" s="378"/>
      <c r="K253" s="378"/>
      <c r="L253" s="378"/>
      <c r="M253" s="378"/>
      <c r="N253" s="425"/>
      <c r="O253" s="425"/>
    </row>
    <row r="254" spans="1:16" s="1" customFormat="1" ht="66" customHeight="1" x14ac:dyDescent="0.2">
      <c r="A254" s="616"/>
      <c r="B254" s="528" t="s">
        <v>132</v>
      </c>
      <c r="C254" s="431"/>
      <c r="D254" s="427">
        <v>10360.5</v>
      </c>
      <c r="E254" s="427">
        <v>10360.5</v>
      </c>
      <c r="F254" s="432">
        <v>2590.1</v>
      </c>
      <c r="G254" s="432">
        <v>2590.1</v>
      </c>
      <c r="H254" s="427">
        <v>2590</v>
      </c>
      <c r="I254" s="432">
        <v>2590.1</v>
      </c>
      <c r="J254" s="427">
        <v>2590</v>
      </c>
      <c r="K254" s="432">
        <v>2590.1999999999998</v>
      </c>
      <c r="L254" s="427">
        <v>2590.4</v>
      </c>
      <c r="M254" s="432"/>
      <c r="N254" s="429">
        <f>SUM(F254+H254+J254+L254)</f>
        <v>10360.5</v>
      </c>
      <c r="O254" s="428">
        <f>SUM(G254+I254+K254+M254)</f>
        <v>7770.4</v>
      </c>
    </row>
    <row r="255" spans="1:16" s="1" customFormat="1" ht="32.25" customHeight="1" x14ac:dyDescent="0.25">
      <c r="A255" s="616"/>
      <c r="B255" s="529" t="s">
        <v>59</v>
      </c>
      <c r="C255" s="431"/>
      <c r="D255" s="432"/>
      <c r="E255" s="432"/>
      <c r="F255" s="432"/>
      <c r="G255" s="432"/>
      <c r="H255" s="432"/>
      <c r="I255" s="432"/>
      <c r="J255" s="432"/>
      <c r="K255" s="432"/>
      <c r="L255" s="432"/>
      <c r="M255" s="432"/>
      <c r="N255" s="433"/>
      <c r="O255" s="433"/>
    </row>
    <row r="256" spans="1:16" s="1" customFormat="1" ht="32.25" customHeight="1" x14ac:dyDescent="0.2">
      <c r="A256" s="616"/>
      <c r="B256" s="529" t="s">
        <v>60</v>
      </c>
      <c r="C256" s="431"/>
      <c r="D256" s="427">
        <v>10360.5</v>
      </c>
      <c r="E256" s="427">
        <v>10360.5</v>
      </c>
      <c r="F256" s="432">
        <v>2590.1</v>
      </c>
      <c r="G256" s="432">
        <v>2590.1</v>
      </c>
      <c r="H256" s="427">
        <v>2590</v>
      </c>
      <c r="I256" s="432">
        <v>2590.1</v>
      </c>
      <c r="J256" s="427">
        <v>2590</v>
      </c>
      <c r="K256" s="432">
        <v>2590.1999999999998</v>
      </c>
      <c r="L256" s="427">
        <v>2590.4</v>
      </c>
      <c r="M256" s="432"/>
      <c r="N256" s="429">
        <f>SUM(F256+H256+J256+L256)</f>
        <v>10360.5</v>
      </c>
      <c r="O256" s="428">
        <f>SUM(G256+I256+K256+M256)</f>
        <v>7770.4</v>
      </c>
    </row>
    <row r="257" spans="1:16" s="1" customFormat="1" ht="32.25" customHeight="1" x14ac:dyDescent="0.25">
      <c r="A257" s="616"/>
      <c r="B257" s="529" t="s">
        <v>61</v>
      </c>
      <c r="C257" s="431"/>
      <c r="D257" s="431"/>
      <c r="E257" s="431"/>
      <c r="F257" s="431"/>
      <c r="G257" s="431"/>
      <c r="H257" s="431"/>
      <c r="I257" s="431"/>
      <c r="J257" s="431"/>
      <c r="K257" s="431"/>
      <c r="L257" s="431"/>
      <c r="M257" s="431"/>
      <c r="N257" s="434"/>
      <c r="O257" s="434"/>
    </row>
    <row r="258" spans="1:16" s="487" customFormat="1" ht="32.25" customHeight="1" x14ac:dyDescent="0.2">
      <c r="A258" s="616"/>
      <c r="B258" s="529" t="s">
        <v>196</v>
      </c>
      <c r="C258" s="431"/>
      <c r="D258" s="432">
        <v>10005.6</v>
      </c>
      <c r="E258" s="432">
        <v>10005.6</v>
      </c>
      <c r="F258" s="431"/>
      <c r="G258" s="431"/>
      <c r="H258" s="431"/>
      <c r="I258" s="431"/>
      <c r="J258" s="432">
        <v>10005.6</v>
      </c>
      <c r="K258" s="432">
        <v>10005.6</v>
      </c>
      <c r="L258" s="432"/>
      <c r="M258" s="431"/>
      <c r="N258" s="429">
        <f>SUM(F258+H258+J258+L258)</f>
        <v>10005.6</v>
      </c>
      <c r="O258" s="428">
        <f>SUM(G258+I258+K258+M258)</f>
        <v>10005.6</v>
      </c>
    </row>
    <row r="259" spans="1:16" s="487" customFormat="1" ht="32.25" customHeight="1" x14ac:dyDescent="0.25">
      <c r="A259" s="616"/>
      <c r="B259" s="527" t="s">
        <v>59</v>
      </c>
      <c r="C259" s="431"/>
      <c r="D259" s="432"/>
      <c r="E259" s="432"/>
      <c r="F259" s="431"/>
      <c r="G259" s="431"/>
      <c r="H259" s="431"/>
      <c r="I259" s="431"/>
      <c r="J259" s="431"/>
      <c r="K259" s="431"/>
      <c r="L259" s="431"/>
      <c r="M259" s="431"/>
      <c r="N259" s="539"/>
      <c r="O259" s="434"/>
    </row>
    <row r="260" spans="1:16" s="487" customFormat="1" ht="32.25" customHeight="1" x14ac:dyDescent="0.2">
      <c r="A260" s="616"/>
      <c r="B260" s="527" t="s">
        <v>60</v>
      </c>
      <c r="C260" s="431"/>
      <c r="D260" s="432">
        <v>10005.6</v>
      </c>
      <c r="E260" s="432">
        <v>10005.6</v>
      </c>
      <c r="F260" s="431"/>
      <c r="G260" s="431"/>
      <c r="H260" s="431"/>
      <c r="I260" s="431"/>
      <c r="J260" s="432">
        <v>10005.6</v>
      </c>
      <c r="K260" s="432">
        <v>10005.6</v>
      </c>
      <c r="L260" s="432"/>
      <c r="M260" s="431"/>
      <c r="N260" s="429">
        <f>SUM(F260+H260+J260+L260)</f>
        <v>10005.6</v>
      </c>
      <c r="O260" s="428">
        <f>SUM(G260+I260+K260+M260)</f>
        <v>10005.6</v>
      </c>
    </row>
    <row r="261" spans="1:16" s="487" customFormat="1" ht="32.25" customHeight="1" thickBot="1" x14ac:dyDescent="0.3">
      <c r="A261" s="616"/>
      <c r="B261" s="531" t="s">
        <v>61</v>
      </c>
      <c r="C261" s="431"/>
      <c r="D261" s="431"/>
      <c r="E261" s="431"/>
      <c r="F261" s="431"/>
      <c r="G261" s="431"/>
      <c r="H261" s="431"/>
      <c r="I261" s="431"/>
      <c r="J261" s="431"/>
      <c r="K261" s="431"/>
      <c r="L261" s="432"/>
      <c r="M261" s="431"/>
      <c r="N261" s="539"/>
      <c r="O261" s="434"/>
    </row>
    <row r="262" spans="1:16" ht="59.25" customHeight="1" x14ac:dyDescent="0.2">
      <c r="A262" s="616"/>
      <c r="B262" s="530" t="s">
        <v>51</v>
      </c>
      <c r="C262" s="248"/>
      <c r="D262" s="383">
        <v>8315</v>
      </c>
      <c r="E262" s="383">
        <v>8315</v>
      </c>
      <c r="F262" s="383">
        <v>1731.4</v>
      </c>
      <c r="G262" s="383">
        <v>1731.3</v>
      </c>
      <c r="H262" s="383">
        <v>1958.6</v>
      </c>
      <c r="I262" s="383">
        <v>1921.8</v>
      </c>
      <c r="J262" s="383">
        <v>1958.6</v>
      </c>
      <c r="K262" s="383">
        <v>2421.6</v>
      </c>
      <c r="L262" s="383">
        <v>2666.4</v>
      </c>
      <c r="M262" s="247"/>
      <c r="N262" s="430">
        <f>F262+H262+J262+L262</f>
        <v>8315</v>
      </c>
      <c r="O262" s="385">
        <f>SUM(G262+I262+K262+M262)</f>
        <v>6074.7</v>
      </c>
      <c r="P262" s="280"/>
    </row>
    <row r="263" spans="1:16" ht="28.5" customHeight="1" x14ac:dyDescent="0.2">
      <c r="A263" s="616"/>
      <c r="B263" s="527" t="s">
        <v>59</v>
      </c>
      <c r="C263" s="382"/>
      <c r="D263" s="383"/>
      <c r="E263" s="383"/>
      <c r="F263" s="383"/>
      <c r="G263" s="383"/>
      <c r="H263" s="383"/>
      <c r="I263" s="383"/>
      <c r="J263" s="383"/>
      <c r="K263" s="383"/>
      <c r="L263" s="384"/>
      <c r="M263" s="385"/>
      <c r="N263" s="430"/>
      <c r="O263" s="385"/>
      <c r="P263" s="280"/>
    </row>
    <row r="264" spans="1:16" ht="35.25" customHeight="1" x14ac:dyDescent="0.2">
      <c r="A264" s="616"/>
      <c r="B264" s="527" t="s">
        <v>60</v>
      </c>
      <c r="C264" s="382"/>
      <c r="D264" s="383">
        <v>8315</v>
      </c>
      <c r="E264" s="383">
        <v>8315</v>
      </c>
      <c r="F264" s="383">
        <v>1731.4</v>
      </c>
      <c r="G264" s="383">
        <v>1731.3</v>
      </c>
      <c r="H264" s="383">
        <v>1958.6</v>
      </c>
      <c r="I264" s="383">
        <v>1921.8</v>
      </c>
      <c r="J264" s="383">
        <v>1958.6</v>
      </c>
      <c r="K264" s="383">
        <v>2421.6</v>
      </c>
      <c r="L264" s="383">
        <v>2666.4</v>
      </c>
      <c r="M264" s="247"/>
      <c r="N264" s="430">
        <f>F264+H264+J264+L264</f>
        <v>8315</v>
      </c>
      <c r="O264" s="385">
        <f>SUM(G264+I264+K264+M264)</f>
        <v>6074.7</v>
      </c>
      <c r="P264" s="281"/>
    </row>
    <row r="265" spans="1:16" ht="39.75" customHeight="1" thickBot="1" x14ac:dyDescent="0.25">
      <c r="A265" s="617"/>
      <c r="B265" s="531" t="s">
        <v>61</v>
      </c>
      <c r="C265" s="389"/>
      <c r="D265" s="386"/>
      <c r="E265" s="386"/>
      <c r="F265" s="386"/>
      <c r="G265" s="386"/>
      <c r="H265" s="386"/>
      <c r="I265" s="386"/>
      <c r="J265" s="386"/>
      <c r="K265" s="386"/>
      <c r="L265" s="387"/>
      <c r="M265" s="388"/>
      <c r="N265" s="380"/>
      <c r="O265" s="385"/>
      <c r="P265" s="279"/>
    </row>
    <row r="266" spans="1:16" ht="39.75" customHeight="1" x14ac:dyDescent="0.2">
      <c r="A266" s="532" t="s">
        <v>12</v>
      </c>
      <c r="B266" s="34"/>
      <c r="C266" s="314"/>
      <c r="D266" s="104">
        <f t="shared" ref="D266:O266" si="67">SUM(D262+D254+D250+D246+D258)</f>
        <v>33826.300000000003</v>
      </c>
      <c r="E266" s="104">
        <f t="shared" si="67"/>
        <v>33826.300000000003</v>
      </c>
      <c r="F266" s="104">
        <f t="shared" si="67"/>
        <v>5577.3</v>
      </c>
      <c r="G266" s="104">
        <f t="shared" si="67"/>
        <v>5577.2</v>
      </c>
      <c r="H266" s="104">
        <f t="shared" si="67"/>
        <v>6930.5</v>
      </c>
      <c r="I266" s="104">
        <f t="shared" si="67"/>
        <v>5548.4999999999991</v>
      </c>
      <c r="J266" s="104">
        <f t="shared" si="67"/>
        <v>15926.400000000001</v>
      </c>
      <c r="K266" s="104">
        <f t="shared" si="67"/>
        <v>15983.099999999999</v>
      </c>
      <c r="L266" s="104">
        <f t="shared" si="67"/>
        <v>5392.1</v>
      </c>
      <c r="M266" s="104">
        <f t="shared" si="67"/>
        <v>0</v>
      </c>
      <c r="N266" s="27">
        <f t="shared" si="67"/>
        <v>33826.300000000003</v>
      </c>
      <c r="O266" s="27">
        <f t="shared" si="67"/>
        <v>27108.800000000003</v>
      </c>
      <c r="P266" s="279"/>
    </row>
    <row r="267" spans="1:16" ht="27" customHeight="1" x14ac:dyDescent="0.2">
      <c r="A267" s="95"/>
      <c r="B267" s="22" t="s">
        <v>59</v>
      </c>
      <c r="C267" s="22"/>
      <c r="D267" s="27"/>
      <c r="E267" s="27"/>
      <c r="F267" s="27"/>
      <c r="G267" s="27"/>
      <c r="H267" s="27"/>
      <c r="I267" s="27"/>
      <c r="J267" s="27"/>
      <c r="K267" s="27"/>
      <c r="L267" s="90"/>
      <c r="M267" s="91"/>
      <c r="N267" s="135"/>
      <c r="O267" s="127"/>
      <c r="P267" s="282"/>
    </row>
    <row r="268" spans="1:16" ht="38.25" customHeight="1" x14ac:dyDescent="0.2">
      <c r="A268" s="95"/>
      <c r="B268" s="22" t="s">
        <v>60</v>
      </c>
      <c r="C268" s="22"/>
      <c r="D268" s="104">
        <f t="shared" ref="D268:L268" si="68">SUM(D264+D256+D252+D248+D260)</f>
        <v>33826.300000000003</v>
      </c>
      <c r="E268" s="104">
        <f t="shared" si="68"/>
        <v>33826.300000000003</v>
      </c>
      <c r="F268" s="104">
        <f t="shared" si="68"/>
        <v>5577.3</v>
      </c>
      <c r="G268" s="104">
        <f t="shared" si="68"/>
        <v>5577.2</v>
      </c>
      <c r="H268" s="104">
        <f t="shared" si="68"/>
        <v>6930.5</v>
      </c>
      <c r="I268" s="104">
        <f t="shared" si="68"/>
        <v>5548.4999999999991</v>
      </c>
      <c r="J268" s="104">
        <f t="shared" si="68"/>
        <v>15926.400000000001</v>
      </c>
      <c r="K268" s="104">
        <f t="shared" si="68"/>
        <v>15983.099999999999</v>
      </c>
      <c r="L268" s="104">
        <f t="shared" si="68"/>
        <v>5392.1</v>
      </c>
      <c r="M268" s="104">
        <f t="shared" ref="M268" si="69">SUM(M264+M256+M252+M248)</f>
        <v>0</v>
      </c>
      <c r="N268" s="104">
        <f>SUM(N264+N256+N252+N248+N260)</f>
        <v>33826.300000000003</v>
      </c>
      <c r="O268" s="27">
        <f>SUM(O264+O256+O252+O248+O260)</f>
        <v>27108.800000000003</v>
      </c>
      <c r="P268" s="99"/>
    </row>
    <row r="269" spans="1:16" ht="30.75" customHeight="1" thickBot="1" x14ac:dyDescent="0.25">
      <c r="A269" s="96"/>
      <c r="B269" s="35" t="s">
        <v>61</v>
      </c>
      <c r="C269" s="35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267"/>
      <c r="P269" s="99"/>
    </row>
    <row r="270" spans="1:16" ht="50.25" customHeight="1" x14ac:dyDescent="0.2">
      <c r="A270" s="601" t="s">
        <v>30</v>
      </c>
      <c r="B270" s="177" t="s">
        <v>99</v>
      </c>
      <c r="C270" s="177"/>
      <c r="D270" s="202">
        <v>232.8</v>
      </c>
      <c r="E270" s="238">
        <v>232.8</v>
      </c>
      <c r="F270" s="202">
        <v>8.4</v>
      </c>
      <c r="G270" s="238">
        <v>8.3000000000000007</v>
      </c>
      <c r="H270" s="238">
        <v>74.8</v>
      </c>
      <c r="I270" s="238">
        <v>141.1</v>
      </c>
      <c r="J270" s="238">
        <v>74.8</v>
      </c>
      <c r="K270" s="238">
        <v>46.7</v>
      </c>
      <c r="L270" s="238">
        <v>74.8</v>
      </c>
      <c r="M270" s="203"/>
      <c r="N270" s="200">
        <f>SUM(F270+H270+J270+L270)</f>
        <v>232.8</v>
      </c>
      <c r="O270" s="239">
        <f>SUM(G270+I270+K270+M270)</f>
        <v>196.10000000000002</v>
      </c>
      <c r="P270" s="283"/>
    </row>
    <row r="271" spans="1:16" ht="21" customHeight="1" x14ac:dyDescent="0.2">
      <c r="A271" s="602"/>
      <c r="B271" s="177" t="s">
        <v>59</v>
      </c>
      <c r="C271" s="177"/>
      <c r="D271" s="202"/>
      <c r="E271" s="238"/>
      <c r="F271" s="202"/>
      <c r="G271" s="202"/>
      <c r="H271" s="238"/>
      <c r="I271" s="238"/>
      <c r="J271" s="238"/>
      <c r="K271" s="202"/>
      <c r="L271" s="238"/>
      <c r="M271" s="203"/>
      <c r="N271" s="201"/>
      <c r="O271" s="239"/>
      <c r="P271" s="283"/>
    </row>
    <row r="272" spans="1:16" ht="30" customHeight="1" x14ac:dyDescent="0.2">
      <c r="A272" s="602"/>
      <c r="B272" s="177" t="s">
        <v>60</v>
      </c>
      <c r="C272" s="177"/>
      <c r="D272" s="238">
        <v>232.8</v>
      </c>
      <c r="E272" s="238">
        <v>232.8</v>
      </c>
      <c r="F272" s="238">
        <v>8.4</v>
      </c>
      <c r="G272" s="238">
        <v>8.3000000000000007</v>
      </c>
      <c r="H272" s="238">
        <v>74.8</v>
      </c>
      <c r="I272" s="238">
        <v>141.1</v>
      </c>
      <c r="J272" s="238">
        <v>74.8</v>
      </c>
      <c r="K272" s="238">
        <v>46.7</v>
      </c>
      <c r="L272" s="238">
        <v>74.8</v>
      </c>
      <c r="M272" s="239"/>
      <c r="N272" s="200">
        <f>SUM(F272+H272+J272+L272)</f>
        <v>232.8</v>
      </c>
      <c r="O272" s="239">
        <f>SUM(G272+I272+K272+M272)</f>
        <v>196.10000000000002</v>
      </c>
      <c r="P272" s="253"/>
    </row>
    <row r="273" spans="1:16" ht="40.5" customHeight="1" x14ac:dyDescent="0.2">
      <c r="A273" s="603"/>
      <c r="B273" s="177" t="s">
        <v>61</v>
      </c>
      <c r="C273" s="177"/>
      <c r="D273" s="202"/>
      <c r="E273" s="202"/>
      <c r="F273" s="202"/>
      <c r="G273" s="202"/>
      <c r="H273" s="202"/>
      <c r="I273" s="202"/>
      <c r="J273" s="202"/>
      <c r="K273" s="202"/>
      <c r="L273" s="202"/>
      <c r="M273" s="203"/>
      <c r="N273" s="201"/>
      <c r="O273" s="239"/>
      <c r="P273" s="253"/>
    </row>
    <row r="274" spans="1:16" ht="42.75" customHeight="1" x14ac:dyDescent="0.2">
      <c r="A274" s="25" t="s">
        <v>12</v>
      </c>
      <c r="B274" s="22"/>
      <c r="C274" s="22"/>
      <c r="D274" s="112">
        <f t="shared" ref="D274:O274" si="70">SUM(D270)</f>
        <v>232.8</v>
      </c>
      <c r="E274" s="112">
        <f t="shared" si="70"/>
        <v>232.8</v>
      </c>
      <c r="F274" s="112">
        <f t="shared" si="70"/>
        <v>8.4</v>
      </c>
      <c r="G274" s="112">
        <f t="shared" si="70"/>
        <v>8.3000000000000007</v>
      </c>
      <c r="H274" s="112">
        <f t="shared" si="70"/>
        <v>74.8</v>
      </c>
      <c r="I274" s="112">
        <f t="shared" si="70"/>
        <v>141.1</v>
      </c>
      <c r="J274" s="112">
        <f t="shared" si="70"/>
        <v>74.8</v>
      </c>
      <c r="K274" s="112">
        <f t="shared" si="70"/>
        <v>46.7</v>
      </c>
      <c r="L274" s="112">
        <f t="shared" si="70"/>
        <v>74.8</v>
      </c>
      <c r="M274" s="112">
        <f t="shared" si="70"/>
        <v>0</v>
      </c>
      <c r="N274" s="112">
        <f t="shared" si="70"/>
        <v>232.8</v>
      </c>
      <c r="O274" s="268">
        <f t="shared" si="70"/>
        <v>196.10000000000002</v>
      </c>
      <c r="P274" s="253"/>
    </row>
    <row r="275" spans="1:16" ht="15.75" x14ac:dyDescent="0.2">
      <c r="A275" s="23"/>
      <c r="B275" s="22" t="s">
        <v>59</v>
      </c>
      <c r="C275" s="22"/>
      <c r="D275" s="109"/>
      <c r="E275" s="109"/>
      <c r="F275" s="110"/>
      <c r="G275" s="110"/>
      <c r="H275" s="110"/>
      <c r="I275" s="110"/>
      <c r="J275" s="110"/>
      <c r="K275" s="110"/>
      <c r="L275" s="111"/>
      <c r="M275" s="91"/>
      <c r="N275" s="45"/>
      <c r="O275" s="127"/>
      <c r="P275" s="253"/>
    </row>
    <row r="276" spans="1:16" ht="15.75" x14ac:dyDescent="0.2">
      <c r="A276" s="23"/>
      <c r="B276" s="22" t="s">
        <v>60</v>
      </c>
      <c r="C276" s="22"/>
      <c r="D276" s="112">
        <f t="shared" ref="D276:O276" si="71">SUM(D272)</f>
        <v>232.8</v>
      </c>
      <c r="E276" s="112">
        <f t="shared" si="71"/>
        <v>232.8</v>
      </c>
      <c r="F276" s="112">
        <f t="shared" si="71"/>
        <v>8.4</v>
      </c>
      <c r="G276" s="112">
        <f t="shared" si="71"/>
        <v>8.3000000000000007</v>
      </c>
      <c r="H276" s="112">
        <f t="shared" si="71"/>
        <v>74.8</v>
      </c>
      <c r="I276" s="112">
        <f t="shared" si="71"/>
        <v>141.1</v>
      </c>
      <c r="J276" s="112">
        <f t="shared" si="71"/>
        <v>74.8</v>
      </c>
      <c r="K276" s="112">
        <f t="shared" si="71"/>
        <v>46.7</v>
      </c>
      <c r="L276" s="112">
        <f t="shared" si="71"/>
        <v>74.8</v>
      </c>
      <c r="M276" s="112">
        <f t="shared" si="71"/>
        <v>0</v>
      </c>
      <c r="N276" s="112">
        <f t="shared" si="71"/>
        <v>232.8</v>
      </c>
      <c r="O276" s="268">
        <f t="shared" si="71"/>
        <v>196.10000000000002</v>
      </c>
      <c r="P276" s="284"/>
    </row>
    <row r="277" spans="1:16" ht="15.75" customHeight="1" thickBot="1" x14ac:dyDescent="0.25">
      <c r="A277" s="24"/>
      <c r="B277" s="26" t="s">
        <v>62</v>
      </c>
      <c r="C277" s="26"/>
      <c r="D277" s="27">
        <v>0</v>
      </c>
      <c r="E277" s="169">
        <v>0</v>
      </c>
      <c r="F277" s="110" t="s">
        <v>58</v>
      </c>
      <c r="G277" s="110" t="s">
        <v>58</v>
      </c>
      <c r="H277" s="110" t="s">
        <v>58</v>
      </c>
      <c r="I277" s="110">
        <v>0</v>
      </c>
      <c r="J277" s="110" t="s">
        <v>58</v>
      </c>
      <c r="K277" s="110">
        <v>0</v>
      </c>
      <c r="L277" s="111" t="s">
        <v>58</v>
      </c>
      <c r="M277" s="91">
        <v>0</v>
      </c>
      <c r="N277" s="128"/>
      <c r="O277" s="269"/>
      <c r="P277" s="284"/>
    </row>
    <row r="278" spans="1:16" ht="42" customHeight="1" thickBot="1" x14ac:dyDescent="0.25">
      <c r="A278" s="679" t="s">
        <v>31</v>
      </c>
      <c r="B278" s="196" t="s">
        <v>90</v>
      </c>
      <c r="C278" s="315"/>
      <c r="D278" s="197">
        <v>879.3</v>
      </c>
      <c r="E278" s="197">
        <v>879.3</v>
      </c>
      <c r="F278" s="197">
        <v>15.1</v>
      </c>
      <c r="G278" s="197">
        <v>15.1</v>
      </c>
      <c r="H278" s="197">
        <v>288.10000000000002</v>
      </c>
      <c r="I278" s="197">
        <v>131</v>
      </c>
      <c r="J278" s="197">
        <v>288</v>
      </c>
      <c r="K278" s="197"/>
      <c r="L278" s="197">
        <v>288.10000000000002</v>
      </c>
      <c r="M278" s="197"/>
      <c r="N278" s="150">
        <f>SUM(F278+H278+J278+L278)</f>
        <v>879.30000000000007</v>
      </c>
      <c r="O278" s="270">
        <f>SUM(G278+I278+K278+M278)</f>
        <v>146.1</v>
      </c>
      <c r="P278" s="284"/>
    </row>
    <row r="279" spans="1:16" s="1" customFormat="1" ht="32.25" customHeight="1" thickBot="1" x14ac:dyDescent="0.3">
      <c r="A279" s="604"/>
      <c r="B279" s="198" t="s">
        <v>59</v>
      </c>
      <c r="C279" s="315"/>
      <c r="D279" s="197"/>
      <c r="E279" s="197"/>
      <c r="F279" s="199"/>
      <c r="G279" s="199"/>
      <c r="H279" s="199"/>
      <c r="I279" s="199"/>
      <c r="J279" s="199"/>
      <c r="K279" s="199"/>
      <c r="L279" s="199"/>
      <c r="M279" s="199"/>
      <c r="N279" s="199"/>
      <c r="O279" s="271"/>
      <c r="P279" s="285"/>
    </row>
    <row r="280" spans="1:16" ht="32.25" customHeight="1" thickBot="1" x14ac:dyDescent="0.25">
      <c r="A280" s="604"/>
      <c r="B280" s="198" t="s">
        <v>60</v>
      </c>
      <c r="C280" s="315"/>
      <c r="D280" s="197">
        <v>879.3</v>
      </c>
      <c r="E280" s="197">
        <v>879.3</v>
      </c>
      <c r="F280" s="197">
        <v>15.1</v>
      </c>
      <c r="G280" s="197">
        <v>15.1</v>
      </c>
      <c r="H280" s="197">
        <v>288.10000000000002</v>
      </c>
      <c r="I280" s="197">
        <v>131</v>
      </c>
      <c r="J280" s="197">
        <v>288</v>
      </c>
      <c r="K280" s="197">
        <v>399</v>
      </c>
      <c r="L280" s="197">
        <v>288.10000000000002</v>
      </c>
      <c r="M280" s="197"/>
      <c r="N280" s="150">
        <f>SUM(F280+H280+J280+L280)</f>
        <v>879.30000000000007</v>
      </c>
      <c r="O280" s="270">
        <f>SUM(G280+I280+K280+M280)</f>
        <v>545.1</v>
      </c>
      <c r="P280" s="286"/>
    </row>
    <row r="281" spans="1:16" ht="39.75" customHeight="1" thickBot="1" x14ac:dyDescent="0.3">
      <c r="A281" s="604"/>
      <c r="B281" s="198" t="s">
        <v>61</v>
      </c>
      <c r="C281" s="315"/>
      <c r="D281" s="197"/>
      <c r="E281" s="197"/>
      <c r="F281" s="199"/>
      <c r="G281" s="199"/>
      <c r="H281" s="199"/>
      <c r="I281" s="199"/>
      <c r="J281" s="199"/>
      <c r="K281" s="199"/>
      <c r="L281" s="199"/>
      <c r="M281" s="199"/>
      <c r="N281" s="199"/>
      <c r="O281" s="271"/>
      <c r="P281" s="286"/>
    </row>
    <row r="282" spans="1:16" ht="75.75" thickBot="1" x14ac:dyDescent="0.25">
      <c r="A282" s="604"/>
      <c r="B282" s="198" t="s">
        <v>91</v>
      </c>
      <c r="C282" s="315"/>
      <c r="D282" s="197">
        <v>3972.8</v>
      </c>
      <c r="E282" s="197">
        <v>3972.8</v>
      </c>
      <c r="F282" s="197">
        <v>993.2</v>
      </c>
      <c r="G282" s="197">
        <v>993.2</v>
      </c>
      <c r="H282" s="197">
        <v>993.2</v>
      </c>
      <c r="I282" s="197">
        <v>993.2</v>
      </c>
      <c r="J282" s="197">
        <v>993.2</v>
      </c>
      <c r="K282" s="197">
        <v>1392.2</v>
      </c>
      <c r="L282" s="197">
        <v>993.2</v>
      </c>
      <c r="M282" s="197"/>
      <c r="N282" s="150">
        <f>SUM(F282+H282+J282+L282)</f>
        <v>3972.8</v>
      </c>
      <c r="O282" s="270">
        <f>SUM(G282+I282+K282+M282)</f>
        <v>3378.6000000000004</v>
      </c>
      <c r="P282" s="286"/>
    </row>
    <row r="283" spans="1:16" ht="15.75" thickBot="1" x14ac:dyDescent="0.3">
      <c r="A283" s="604"/>
      <c r="B283" s="198" t="s">
        <v>59</v>
      </c>
      <c r="C283" s="315"/>
      <c r="D283" s="197"/>
      <c r="E283" s="197"/>
      <c r="F283" s="199"/>
      <c r="G283" s="199"/>
      <c r="H283" s="199"/>
      <c r="I283" s="199"/>
      <c r="J283" s="199"/>
      <c r="K283" s="199"/>
      <c r="L283" s="199"/>
      <c r="M283" s="199"/>
      <c r="N283" s="199"/>
      <c r="O283" s="271"/>
      <c r="P283" s="286"/>
    </row>
    <row r="284" spans="1:16" ht="28.5" customHeight="1" thickBot="1" x14ac:dyDescent="0.25">
      <c r="A284" s="604"/>
      <c r="B284" s="198" t="s">
        <v>60</v>
      </c>
      <c r="C284" s="315"/>
      <c r="D284" s="197">
        <v>3972.8</v>
      </c>
      <c r="E284" s="197">
        <v>3972.8</v>
      </c>
      <c r="F284" s="197">
        <v>993.2</v>
      </c>
      <c r="G284" s="197">
        <v>993.2</v>
      </c>
      <c r="H284" s="197">
        <v>993.2</v>
      </c>
      <c r="I284" s="197">
        <v>993.2</v>
      </c>
      <c r="J284" s="197">
        <v>993.2</v>
      </c>
      <c r="K284" s="197">
        <v>993.2</v>
      </c>
      <c r="L284" s="197">
        <v>993.2</v>
      </c>
      <c r="M284" s="197"/>
      <c r="N284" s="150">
        <f>SUM(F284+H284+J284+L284)</f>
        <v>3972.8</v>
      </c>
      <c r="O284" s="270">
        <f>SUM(G284+I284+K284+M284)</f>
        <v>2979.6000000000004</v>
      </c>
      <c r="P284" s="286"/>
    </row>
    <row r="285" spans="1:16" ht="32.25" customHeight="1" thickBot="1" x14ac:dyDescent="0.3">
      <c r="A285" s="604"/>
      <c r="B285" s="198" t="s">
        <v>61</v>
      </c>
      <c r="C285" s="315"/>
      <c r="D285" s="197"/>
      <c r="E285" s="197"/>
      <c r="F285" s="199"/>
      <c r="G285" s="199"/>
      <c r="H285" s="199"/>
      <c r="I285" s="199"/>
      <c r="J285" s="199"/>
      <c r="K285" s="199"/>
      <c r="L285" s="199"/>
      <c r="M285" s="199"/>
      <c r="N285" s="199"/>
      <c r="O285" s="271"/>
      <c r="P285" s="286"/>
    </row>
    <row r="286" spans="1:16" ht="33.75" customHeight="1" x14ac:dyDescent="0.2">
      <c r="A286" s="6" t="s">
        <v>12</v>
      </c>
      <c r="B286" s="22"/>
      <c r="C286" s="22"/>
      <c r="D286" s="391">
        <f t="shared" ref="D286:M286" si="72">SUM(D282+D278)</f>
        <v>4852.1000000000004</v>
      </c>
      <c r="E286" s="391">
        <f t="shared" si="72"/>
        <v>4852.1000000000004</v>
      </c>
      <c r="F286" s="391">
        <f t="shared" si="72"/>
        <v>1008.3000000000001</v>
      </c>
      <c r="G286" s="391">
        <f t="shared" si="72"/>
        <v>1008.3000000000001</v>
      </c>
      <c r="H286" s="391">
        <f t="shared" si="72"/>
        <v>1281.3000000000002</v>
      </c>
      <c r="I286" s="391">
        <f t="shared" si="72"/>
        <v>1124.2</v>
      </c>
      <c r="J286" s="391">
        <f t="shared" si="72"/>
        <v>1281.2</v>
      </c>
      <c r="K286" s="391">
        <f t="shared" si="72"/>
        <v>1392.2</v>
      </c>
      <c r="L286" s="391">
        <f t="shared" si="72"/>
        <v>1281.3000000000002</v>
      </c>
      <c r="M286" s="391">
        <f t="shared" si="72"/>
        <v>0</v>
      </c>
      <c r="N286" s="546">
        <f>SUM(F286+H286+J286+L286)</f>
        <v>4852.1000000000004</v>
      </c>
      <c r="O286" s="277">
        <f>SUM(O282+O278)</f>
        <v>3524.7000000000003</v>
      </c>
      <c r="P286" s="286"/>
    </row>
    <row r="287" spans="1:16" ht="30" customHeight="1" x14ac:dyDescent="0.25">
      <c r="A287" s="611"/>
      <c r="B287" s="22" t="s">
        <v>59</v>
      </c>
      <c r="C287" s="22"/>
      <c r="D287" s="392"/>
      <c r="E287" s="392"/>
      <c r="F287" s="435"/>
      <c r="G287" s="435"/>
      <c r="H287" s="435"/>
      <c r="I287" s="435"/>
      <c r="J287" s="435"/>
      <c r="K287" s="435"/>
      <c r="L287" s="435"/>
      <c r="M287" s="435"/>
      <c r="N287" s="435"/>
      <c r="O287" s="436"/>
      <c r="P287" s="286"/>
    </row>
    <row r="288" spans="1:16" ht="32.25" customHeight="1" x14ac:dyDescent="0.2">
      <c r="A288" s="612"/>
      <c r="B288" s="22" t="s">
        <v>60</v>
      </c>
      <c r="C288" s="22"/>
      <c r="D288" s="393">
        <f t="shared" ref="D288:M288" si="73">SUM(D284+D280)</f>
        <v>4852.1000000000004</v>
      </c>
      <c r="E288" s="393">
        <f t="shared" si="73"/>
        <v>4852.1000000000004</v>
      </c>
      <c r="F288" s="393">
        <f t="shared" si="73"/>
        <v>1008.3000000000001</v>
      </c>
      <c r="G288" s="393">
        <f t="shared" si="73"/>
        <v>1008.3000000000001</v>
      </c>
      <c r="H288" s="393">
        <f t="shared" si="73"/>
        <v>1281.3000000000002</v>
      </c>
      <c r="I288" s="393">
        <f t="shared" si="73"/>
        <v>1124.2</v>
      </c>
      <c r="J288" s="393">
        <f t="shared" si="73"/>
        <v>1281.2</v>
      </c>
      <c r="K288" s="393">
        <f t="shared" si="73"/>
        <v>1392.2</v>
      </c>
      <c r="L288" s="393">
        <f t="shared" si="73"/>
        <v>1281.3000000000002</v>
      </c>
      <c r="M288" s="393">
        <f t="shared" si="73"/>
        <v>0</v>
      </c>
      <c r="N288" s="547">
        <f>SUM(F288+H288+J288+L288)</f>
        <v>4852.1000000000004</v>
      </c>
      <c r="O288" s="540">
        <f>SUM(G288+I288+K288+M288)</f>
        <v>3524.7</v>
      </c>
      <c r="P288" s="284"/>
    </row>
    <row r="289" spans="1:16" ht="36.75" customHeight="1" thickBot="1" x14ac:dyDescent="0.25">
      <c r="A289" s="613"/>
      <c r="B289" s="26" t="s">
        <v>62</v>
      </c>
      <c r="C289" s="26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7"/>
      <c r="O289" s="269"/>
      <c r="P289" s="284"/>
    </row>
    <row r="290" spans="1:16" ht="134.25" customHeight="1" thickBot="1" x14ac:dyDescent="0.25">
      <c r="A290" s="606" t="s">
        <v>32</v>
      </c>
      <c r="B290" s="194" t="s">
        <v>46</v>
      </c>
      <c r="C290" s="316"/>
      <c r="D290" s="195">
        <v>20</v>
      </c>
      <c r="E290" s="195">
        <v>20</v>
      </c>
      <c r="F290" s="176">
        <v>10</v>
      </c>
      <c r="G290" s="176">
        <v>0</v>
      </c>
      <c r="H290" s="179"/>
      <c r="I290" s="179"/>
      <c r="J290" s="345">
        <v>10</v>
      </c>
      <c r="K290" s="179"/>
      <c r="L290" s="179"/>
      <c r="M290" s="394"/>
      <c r="N290" s="150">
        <f>SUM(F290+H290+J290+L290)</f>
        <v>20</v>
      </c>
      <c r="O290" s="270">
        <f>SUM(G290+I290+K290+M290)</f>
        <v>0</v>
      </c>
      <c r="P290" s="284"/>
    </row>
    <row r="291" spans="1:16" s="1" customFormat="1" ht="21.75" customHeight="1" thickBot="1" x14ac:dyDescent="0.25">
      <c r="A291" s="694"/>
      <c r="B291" s="186" t="s">
        <v>59</v>
      </c>
      <c r="C291" s="316"/>
      <c r="D291" s="195"/>
      <c r="E291" s="195"/>
      <c r="F291" s="179"/>
      <c r="G291" s="179"/>
      <c r="H291" s="179"/>
      <c r="I291" s="179"/>
      <c r="J291" s="345"/>
      <c r="K291" s="179"/>
      <c r="L291" s="179"/>
      <c r="M291" s="394"/>
      <c r="N291" s="16"/>
      <c r="O291" s="221"/>
      <c r="P291" s="285"/>
    </row>
    <row r="292" spans="1:16" ht="16.5" thickBot="1" x14ac:dyDescent="0.25">
      <c r="A292" s="694"/>
      <c r="B292" s="186" t="s">
        <v>60</v>
      </c>
      <c r="C292" s="316"/>
      <c r="D292" s="195">
        <v>20</v>
      </c>
      <c r="E292" s="195">
        <v>20</v>
      </c>
      <c r="F292" s="176">
        <v>10</v>
      </c>
      <c r="G292" s="176">
        <v>0</v>
      </c>
      <c r="H292" s="179"/>
      <c r="I292" s="179"/>
      <c r="J292" s="345">
        <v>10</v>
      </c>
      <c r="K292" s="179"/>
      <c r="L292" s="179"/>
      <c r="M292" s="394"/>
      <c r="N292" s="150">
        <f>SUM(F292+H292+J292+L292)</f>
        <v>20</v>
      </c>
      <c r="O292" s="270">
        <f>SUM(G292+I292+K292+M292)</f>
        <v>0</v>
      </c>
      <c r="P292" s="286"/>
    </row>
    <row r="293" spans="1:16" ht="32.25" thickBot="1" x14ac:dyDescent="0.25">
      <c r="A293" s="694"/>
      <c r="B293" s="186" t="s">
        <v>61</v>
      </c>
      <c r="C293" s="316"/>
      <c r="D293" s="195"/>
      <c r="E293" s="195"/>
      <c r="F293" s="179"/>
      <c r="G293" s="179"/>
      <c r="H293" s="179"/>
      <c r="I293" s="179"/>
      <c r="J293" s="179"/>
      <c r="K293" s="179"/>
      <c r="L293" s="179"/>
      <c r="M293" s="179"/>
      <c r="N293" s="16"/>
      <c r="O293" s="221"/>
      <c r="P293" s="286"/>
    </row>
    <row r="294" spans="1:16" ht="37.5" x14ac:dyDescent="0.2">
      <c r="A294" s="6" t="s">
        <v>12</v>
      </c>
      <c r="B294" s="22"/>
      <c r="C294" s="22"/>
      <c r="D294" s="71">
        <f t="shared" ref="D294:O294" si="74">SUM(D290)</f>
        <v>20</v>
      </c>
      <c r="E294" s="71">
        <f t="shared" si="74"/>
        <v>20</v>
      </c>
      <c r="F294" s="71">
        <f t="shared" si="74"/>
        <v>10</v>
      </c>
      <c r="G294" s="71">
        <f t="shared" si="74"/>
        <v>0</v>
      </c>
      <c r="H294" s="71">
        <f t="shared" si="74"/>
        <v>0</v>
      </c>
      <c r="I294" s="71">
        <f t="shared" si="74"/>
        <v>0</v>
      </c>
      <c r="J294" s="71">
        <f t="shared" si="74"/>
        <v>10</v>
      </c>
      <c r="K294" s="71">
        <f t="shared" si="74"/>
        <v>0</v>
      </c>
      <c r="L294" s="71">
        <f t="shared" si="74"/>
        <v>0</v>
      </c>
      <c r="M294" s="71">
        <f t="shared" si="74"/>
        <v>0</v>
      </c>
      <c r="N294" s="141">
        <f t="shared" si="74"/>
        <v>20</v>
      </c>
      <c r="O294" s="272">
        <f t="shared" si="74"/>
        <v>0</v>
      </c>
      <c r="P294" s="286"/>
    </row>
    <row r="295" spans="1:16" ht="15.75" x14ac:dyDescent="0.2">
      <c r="A295" s="57"/>
      <c r="B295" s="22" t="s">
        <v>59</v>
      </c>
      <c r="C295" s="22"/>
      <c r="D295" s="71"/>
      <c r="E295" s="71"/>
      <c r="F295" s="44"/>
      <c r="G295" s="44"/>
      <c r="H295" s="44"/>
      <c r="I295" s="44"/>
      <c r="J295" s="44"/>
      <c r="K295" s="44"/>
      <c r="L295" s="44"/>
      <c r="M295" s="44"/>
      <c r="N295" s="76"/>
      <c r="O295" s="124"/>
      <c r="P295" s="286"/>
    </row>
    <row r="296" spans="1:16" ht="15.75" x14ac:dyDescent="0.2">
      <c r="A296" s="57"/>
      <c r="B296" s="22" t="s">
        <v>60</v>
      </c>
      <c r="C296" s="22"/>
      <c r="D296" s="71">
        <f t="shared" ref="D296:M296" si="75">SUM(D292)</f>
        <v>20</v>
      </c>
      <c r="E296" s="71">
        <f t="shared" si="75"/>
        <v>20</v>
      </c>
      <c r="F296" s="71">
        <f t="shared" si="75"/>
        <v>10</v>
      </c>
      <c r="G296" s="71">
        <f t="shared" si="75"/>
        <v>0</v>
      </c>
      <c r="H296" s="71">
        <f t="shared" si="75"/>
        <v>0</v>
      </c>
      <c r="I296" s="71">
        <f t="shared" si="75"/>
        <v>0</v>
      </c>
      <c r="J296" s="71">
        <f t="shared" si="75"/>
        <v>10</v>
      </c>
      <c r="K296" s="71">
        <f t="shared" si="75"/>
        <v>0</v>
      </c>
      <c r="L296" s="71">
        <f t="shared" si="75"/>
        <v>0</v>
      </c>
      <c r="M296" s="71">
        <f t="shared" si="75"/>
        <v>0</v>
      </c>
      <c r="N296" s="149">
        <f>SUM(F296+H296+J296+L296)</f>
        <v>20</v>
      </c>
      <c r="O296" s="273">
        <f>SUM(G296+I296+K296+M296)</f>
        <v>0</v>
      </c>
      <c r="P296" s="99"/>
    </row>
    <row r="297" spans="1:16" ht="32.25" thickBot="1" x14ac:dyDescent="0.25">
      <c r="A297" s="6"/>
      <c r="B297" s="26" t="s">
        <v>62</v>
      </c>
      <c r="C297" s="26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7"/>
      <c r="O297" s="269"/>
      <c r="P297" s="99"/>
    </row>
    <row r="298" spans="1:16" ht="110.25" x14ac:dyDescent="0.2">
      <c r="A298" s="233" t="s">
        <v>68</v>
      </c>
      <c r="B298" s="26" t="s">
        <v>92</v>
      </c>
      <c r="C298" s="317"/>
      <c r="D298" s="234">
        <v>2679.3</v>
      </c>
      <c r="E298" s="234">
        <v>2679.3</v>
      </c>
      <c r="F298" s="234">
        <v>653.1</v>
      </c>
      <c r="G298" s="234">
        <v>653.1</v>
      </c>
      <c r="H298" s="234">
        <v>675.4</v>
      </c>
      <c r="I298" s="234">
        <v>649.6</v>
      </c>
      <c r="J298" s="234">
        <v>675.4</v>
      </c>
      <c r="K298" s="234">
        <v>659.5</v>
      </c>
      <c r="L298" s="234">
        <v>675.4</v>
      </c>
      <c r="M298" s="235"/>
      <c r="N298" s="236">
        <f>SUM(F298+H298+J298+L298)</f>
        <v>2679.3</v>
      </c>
      <c r="O298" s="274">
        <f>SUM(G298+I298+K298+M298)</f>
        <v>1962.2</v>
      </c>
      <c r="P298" s="99"/>
    </row>
    <row r="299" spans="1:16" s="1" customFormat="1" ht="32.25" customHeight="1" x14ac:dyDescent="0.2">
      <c r="A299" s="28" t="s">
        <v>2</v>
      </c>
      <c r="B299" s="41"/>
      <c r="C299" s="41"/>
      <c r="D299" s="32">
        <f t="shared" ref="D299:O299" si="76">SUM(D298+D294+D286+D274+D266)</f>
        <v>41610.5</v>
      </c>
      <c r="E299" s="32">
        <f t="shared" si="76"/>
        <v>41610.5</v>
      </c>
      <c r="F299" s="32">
        <f t="shared" si="76"/>
        <v>7257.1</v>
      </c>
      <c r="G299" s="32">
        <f t="shared" si="76"/>
        <v>7246.9</v>
      </c>
      <c r="H299" s="32">
        <f t="shared" si="76"/>
        <v>8962</v>
      </c>
      <c r="I299" s="32">
        <f t="shared" si="76"/>
        <v>7463.4</v>
      </c>
      <c r="J299" s="32">
        <f t="shared" si="76"/>
        <v>17967.800000000003</v>
      </c>
      <c r="K299" s="32">
        <f t="shared" si="76"/>
        <v>18081.5</v>
      </c>
      <c r="L299" s="32">
        <f t="shared" si="76"/>
        <v>7423.6</v>
      </c>
      <c r="M299" s="32">
        <f t="shared" si="76"/>
        <v>0</v>
      </c>
      <c r="N299" s="543">
        <f t="shared" si="76"/>
        <v>41610.5</v>
      </c>
      <c r="O299" s="541">
        <f t="shared" si="76"/>
        <v>32791.800000000003</v>
      </c>
      <c r="P299" s="147"/>
    </row>
    <row r="300" spans="1:16" s="1" customFormat="1" ht="33" customHeight="1" x14ac:dyDescent="0.2">
      <c r="A300" s="30"/>
      <c r="B300" s="41" t="s">
        <v>59</v>
      </c>
      <c r="C300" s="4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544"/>
      <c r="O300" s="275"/>
      <c r="P300" s="287"/>
    </row>
    <row r="301" spans="1:16" s="1" customFormat="1" ht="32.25" customHeight="1" x14ac:dyDescent="0.2">
      <c r="A301" s="28"/>
      <c r="B301" s="41" t="s">
        <v>60</v>
      </c>
      <c r="C301" s="305"/>
      <c r="D301" s="29">
        <f t="shared" ref="D301:O301" si="77">SUM(D296+D288+D276+D268+D298)</f>
        <v>41610.500000000007</v>
      </c>
      <c r="E301" s="29">
        <f t="shared" si="77"/>
        <v>41610.500000000007</v>
      </c>
      <c r="F301" s="29">
        <f t="shared" si="77"/>
        <v>7257.1</v>
      </c>
      <c r="G301" s="29">
        <f t="shared" si="77"/>
        <v>7246.9000000000005</v>
      </c>
      <c r="H301" s="29">
        <f t="shared" si="77"/>
        <v>8962</v>
      </c>
      <c r="I301" s="29">
        <f t="shared" si="77"/>
        <v>7463.4</v>
      </c>
      <c r="J301" s="29">
        <f t="shared" si="77"/>
        <v>17967.800000000003</v>
      </c>
      <c r="K301" s="29">
        <f t="shared" si="77"/>
        <v>18081.5</v>
      </c>
      <c r="L301" s="29">
        <f t="shared" si="77"/>
        <v>7423.6</v>
      </c>
      <c r="M301" s="29">
        <f t="shared" si="77"/>
        <v>0</v>
      </c>
      <c r="N301" s="545">
        <f t="shared" si="77"/>
        <v>41610.500000000007</v>
      </c>
      <c r="O301" s="542">
        <f t="shared" si="77"/>
        <v>32791.800000000003</v>
      </c>
      <c r="P301" s="147"/>
    </row>
    <row r="302" spans="1:16" s="1" customFormat="1" ht="32.25" customHeight="1" x14ac:dyDescent="0.2">
      <c r="A302" s="30"/>
      <c r="B302" s="53" t="s">
        <v>62</v>
      </c>
      <c r="C302" s="53"/>
      <c r="D302" s="33">
        <f t="shared" ref="D302:O302" si="78">SUM(D297+D289+D277+D269)</f>
        <v>0</v>
      </c>
      <c r="E302" s="33">
        <f t="shared" si="78"/>
        <v>0</v>
      </c>
      <c r="F302" s="33">
        <f t="shared" si="78"/>
        <v>0</v>
      </c>
      <c r="G302" s="33">
        <f t="shared" si="78"/>
        <v>0</v>
      </c>
      <c r="H302" s="33">
        <f t="shared" si="78"/>
        <v>0</v>
      </c>
      <c r="I302" s="33">
        <f t="shared" si="78"/>
        <v>0</v>
      </c>
      <c r="J302" s="33">
        <f t="shared" si="78"/>
        <v>0</v>
      </c>
      <c r="K302" s="33">
        <f t="shared" si="78"/>
        <v>0</v>
      </c>
      <c r="L302" s="33">
        <f t="shared" si="78"/>
        <v>0</v>
      </c>
      <c r="M302" s="33">
        <f t="shared" si="78"/>
        <v>0</v>
      </c>
      <c r="N302" s="33">
        <f t="shared" si="78"/>
        <v>0</v>
      </c>
      <c r="O302" s="125">
        <f t="shared" si="78"/>
        <v>0</v>
      </c>
      <c r="P302" s="147"/>
    </row>
    <row r="303" spans="1:16" s="1" customFormat="1" ht="32.25" customHeight="1" x14ac:dyDescent="0.25">
      <c r="A303" s="702" t="s">
        <v>33</v>
      </c>
      <c r="B303" s="702"/>
      <c r="C303" s="702"/>
      <c r="D303" s="702"/>
      <c r="E303" s="702"/>
      <c r="F303" s="702"/>
      <c r="G303" s="702"/>
      <c r="H303" s="702"/>
      <c r="I303" s="702"/>
      <c r="J303" s="702"/>
      <c r="K303" s="702"/>
      <c r="L303" s="702"/>
      <c r="M303" s="702"/>
      <c r="N303" s="703"/>
      <c r="O303" s="704"/>
      <c r="P303" s="147"/>
    </row>
    <row r="304" spans="1:16" s="1" customFormat="1" ht="67.5" customHeight="1" x14ac:dyDescent="0.2">
      <c r="A304" s="695" t="s">
        <v>34</v>
      </c>
      <c r="B304" s="231" t="s">
        <v>34</v>
      </c>
      <c r="C304" s="231"/>
      <c r="D304" s="190">
        <v>1188</v>
      </c>
      <c r="E304" s="190">
        <v>1188</v>
      </c>
      <c r="F304" s="190">
        <v>220.5</v>
      </c>
      <c r="G304" s="190">
        <v>220.5</v>
      </c>
      <c r="H304" s="190">
        <v>322.5</v>
      </c>
      <c r="I304" s="190">
        <v>518</v>
      </c>
      <c r="J304" s="190">
        <v>212.6</v>
      </c>
      <c r="K304" s="190">
        <v>225</v>
      </c>
      <c r="L304" s="190">
        <v>432.4</v>
      </c>
      <c r="M304" s="190"/>
      <c r="N304" s="232">
        <f t="shared" ref="N304:O306" si="79">SUM(F304+H304+J304+L304)</f>
        <v>1188</v>
      </c>
      <c r="O304" s="276">
        <f t="shared" si="79"/>
        <v>963.5</v>
      </c>
      <c r="P304" s="147"/>
    </row>
    <row r="305" spans="1:16" s="487" customFormat="1" ht="67.5" customHeight="1" x14ac:dyDescent="0.25">
      <c r="A305" s="695"/>
      <c r="B305" s="189" t="s">
        <v>93</v>
      </c>
      <c r="C305" s="189"/>
      <c r="D305" s="191">
        <v>310</v>
      </c>
      <c r="E305" s="191">
        <v>310</v>
      </c>
      <c r="F305" s="191">
        <v>10</v>
      </c>
      <c r="G305" s="191">
        <v>10</v>
      </c>
      <c r="H305" s="191">
        <v>300</v>
      </c>
      <c r="I305" s="191">
        <v>99.9</v>
      </c>
      <c r="J305" s="191"/>
      <c r="K305" s="192">
        <v>200</v>
      </c>
      <c r="L305" s="191"/>
      <c r="M305" s="193"/>
      <c r="N305" s="150">
        <f t="shared" ref="N305" si="80">SUM(F305+H305+J305+L305)</f>
        <v>310</v>
      </c>
      <c r="O305" s="270">
        <f t="shared" ref="O305" si="81">SUM(G305+I305+K305+M305)</f>
        <v>309.89999999999998</v>
      </c>
      <c r="P305" s="285"/>
    </row>
    <row r="306" spans="1:16" ht="60" customHeight="1" x14ac:dyDescent="0.25">
      <c r="A306" s="695"/>
      <c r="B306" s="189" t="s">
        <v>197</v>
      </c>
      <c r="C306" s="189"/>
      <c r="D306" s="191">
        <v>531.1</v>
      </c>
      <c r="E306" s="191">
        <v>531.1</v>
      </c>
      <c r="F306" s="191"/>
      <c r="G306" s="191"/>
      <c r="H306" s="191"/>
      <c r="I306" s="191"/>
      <c r="J306" s="191">
        <v>531.1</v>
      </c>
      <c r="K306" s="192">
        <v>531.1</v>
      </c>
      <c r="L306" s="191"/>
      <c r="M306" s="193"/>
      <c r="N306" s="150">
        <f t="shared" si="79"/>
        <v>531.1</v>
      </c>
      <c r="O306" s="270">
        <f t="shared" si="79"/>
        <v>531.1</v>
      </c>
      <c r="P306" s="286"/>
    </row>
    <row r="307" spans="1:16" ht="49.5" customHeight="1" x14ac:dyDescent="0.2">
      <c r="A307" s="6" t="s">
        <v>12</v>
      </c>
      <c r="B307" s="153"/>
      <c r="C307" s="153"/>
      <c r="D307" s="151">
        <f t="shared" ref="D307:O307" si="82">SUM(D304+D306+D305)</f>
        <v>2029.1</v>
      </c>
      <c r="E307" s="151">
        <f t="shared" si="82"/>
        <v>2029.1</v>
      </c>
      <c r="F307" s="151">
        <f t="shared" si="82"/>
        <v>230.5</v>
      </c>
      <c r="G307" s="151">
        <f t="shared" si="82"/>
        <v>230.5</v>
      </c>
      <c r="H307" s="151">
        <f t="shared" si="82"/>
        <v>622.5</v>
      </c>
      <c r="I307" s="151">
        <f t="shared" si="82"/>
        <v>617.9</v>
      </c>
      <c r="J307" s="151">
        <f t="shared" si="82"/>
        <v>743.7</v>
      </c>
      <c r="K307" s="151">
        <f t="shared" si="82"/>
        <v>956.1</v>
      </c>
      <c r="L307" s="151">
        <f t="shared" si="82"/>
        <v>432.4</v>
      </c>
      <c r="M307" s="151">
        <f t="shared" si="82"/>
        <v>0</v>
      </c>
      <c r="N307" s="151">
        <f t="shared" si="82"/>
        <v>2029.1</v>
      </c>
      <c r="O307" s="151">
        <f t="shared" si="82"/>
        <v>1804.5</v>
      </c>
      <c r="P307" s="286"/>
    </row>
    <row r="308" spans="1:16" ht="29.25" customHeight="1" x14ac:dyDescent="0.2">
      <c r="A308" s="57"/>
      <c r="B308" s="153" t="s">
        <v>59</v>
      </c>
      <c r="C308" s="153"/>
      <c r="D308" s="151"/>
      <c r="E308" s="151"/>
      <c r="F308" s="151"/>
      <c r="G308" s="154"/>
      <c r="H308" s="154"/>
      <c r="I308" s="154"/>
      <c r="J308" s="151"/>
      <c r="K308" s="154"/>
      <c r="L308" s="151"/>
      <c r="M308" s="155"/>
      <c r="N308" s="152"/>
      <c r="O308" s="278"/>
      <c r="P308" s="286"/>
    </row>
    <row r="309" spans="1:16" ht="36.75" customHeight="1" x14ac:dyDescent="0.2">
      <c r="A309" s="57"/>
      <c r="B309" s="153" t="s">
        <v>60</v>
      </c>
      <c r="C309" s="153"/>
      <c r="D309" s="151">
        <f t="shared" ref="D309:O309" si="83">SUM(D306+D304+D305)</f>
        <v>2029.1</v>
      </c>
      <c r="E309" s="151">
        <f t="shared" si="83"/>
        <v>2029.1</v>
      </c>
      <c r="F309" s="151">
        <f t="shared" si="83"/>
        <v>230.5</v>
      </c>
      <c r="G309" s="151">
        <f t="shared" si="83"/>
        <v>230.5</v>
      </c>
      <c r="H309" s="151">
        <f t="shared" si="83"/>
        <v>622.5</v>
      </c>
      <c r="I309" s="151">
        <f t="shared" si="83"/>
        <v>617.9</v>
      </c>
      <c r="J309" s="151">
        <f t="shared" si="83"/>
        <v>743.7</v>
      </c>
      <c r="K309" s="151">
        <f t="shared" si="83"/>
        <v>956.1</v>
      </c>
      <c r="L309" s="151">
        <f t="shared" si="83"/>
        <v>432.4</v>
      </c>
      <c r="M309" s="151">
        <f t="shared" si="83"/>
        <v>0</v>
      </c>
      <c r="N309" s="151">
        <f t="shared" si="83"/>
        <v>2029.1</v>
      </c>
      <c r="O309" s="151">
        <f t="shared" si="83"/>
        <v>1804.5</v>
      </c>
      <c r="P309" s="286"/>
    </row>
    <row r="310" spans="1:16" ht="41.25" customHeight="1" x14ac:dyDescent="0.2">
      <c r="A310" s="6"/>
      <c r="B310" s="26" t="s">
        <v>62</v>
      </c>
      <c r="C310" s="2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269"/>
      <c r="P310" s="286"/>
    </row>
    <row r="311" spans="1:16" s="1" customFormat="1" ht="114" customHeight="1" x14ac:dyDescent="0.25">
      <c r="A311" s="604" t="s">
        <v>35</v>
      </c>
      <c r="B311" s="187" t="s">
        <v>72</v>
      </c>
      <c r="C311" s="187"/>
      <c r="D311" s="139">
        <v>100</v>
      </c>
      <c r="E311" s="139">
        <v>100</v>
      </c>
      <c r="F311" s="139"/>
      <c r="G311" s="139"/>
      <c r="H311" s="139"/>
      <c r="I311" s="139"/>
      <c r="J311" s="139">
        <v>100</v>
      </c>
      <c r="K311" s="139"/>
      <c r="L311" s="139"/>
      <c r="M311" s="139"/>
      <c r="N311" s="150">
        <f t="shared" ref="N311:O312" si="84">SUM(F311+H311+J311+L311)</f>
        <v>100</v>
      </c>
      <c r="O311" s="270">
        <f t="shared" si="84"/>
        <v>0</v>
      </c>
      <c r="P311" s="288"/>
    </row>
    <row r="312" spans="1:16" ht="80.25" customHeight="1" x14ac:dyDescent="0.2">
      <c r="A312" s="605"/>
      <c r="B312" s="188" t="s">
        <v>73</v>
      </c>
      <c r="C312" s="188"/>
      <c r="D312" s="139">
        <v>50</v>
      </c>
      <c r="E312" s="139">
        <v>50</v>
      </c>
      <c r="F312" s="139"/>
      <c r="G312" s="139"/>
      <c r="H312" s="139"/>
      <c r="I312" s="139"/>
      <c r="J312" s="139">
        <v>50</v>
      </c>
      <c r="K312" s="139"/>
      <c r="L312" s="139"/>
      <c r="M312" s="139"/>
      <c r="N312" s="150">
        <f t="shared" si="84"/>
        <v>50</v>
      </c>
      <c r="O312" s="270">
        <f t="shared" si="84"/>
        <v>0</v>
      </c>
      <c r="P312" s="286"/>
    </row>
    <row r="313" spans="1:16" ht="37.5" x14ac:dyDescent="0.2">
      <c r="A313" s="6" t="s">
        <v>12</v>
      </c>
      <c r="B313" s="22"/>
      <c r="C313" s="22"/>
      <c r="D313" s="77">
        <f t="shared" ref="D313:O313" si="85">SUM(D311+D312)</f>
        <v>150</v>
      </c>
      <c r="E313" s="77">
        <f t="shared" si="85"/>
        <v>150</v>
      </c>
      <c r="F313" s="77">
        <f t="shared" si="85"/>
        <v>0</v>
      </c>
      <c r="G313" s="77">
        <f t="shared" si="85"/>
        <v>0</v>
      </c>
      <c r="H313" s="77">
        <f t="shared" si="85"/>
        <v>0</v>
      </c>
      <c r="I313" s="77">
        <f t="shared" si="85"/>
        <v>0</v>
      </c>
      <c r="J313" s="77">
        <f t="shared" si="85"/>
        <v>150</v>
      </c>
      <c r="K313" s="77">
        <f t="shared" si="85"/>
        <v>0</v>
      </c>
      <c r="L313" s="77">
        <f t="shared" si="85"/>
        <v>0</v>
      </c>
      <c r="M313" s="77">
        <f t="shared" si="85"/>
        <v>0</v>
      </c>
      <c r="N313" s="77">
        <f t="shared" si="85"/>
        <v>150</v>
      </c>
      <c r="O313" s="77">
        <f t="shared" si="85"/>
        <v>0</v>
      </c>
      <c r="P313" s="286"/>
    </row>
    <row r="314" spans="1:16" ht="15.75" x14ac:dyDescent="0.2">
      <c r="A314" s="437"/>
      <c r="B314" s="22" t="s">
        <v>59</v>
      </c>
      <c r="C314" s="2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7"/>
      <c r="P314" s="286"/>
    </row>
    <row r="315" spans="1:16" ht="15.75" x14ac:dyDescent="0.2">
      <c r="A315" s="437"/>
      <c r="B315" s="22" t="s">
        <v>60</v>
      </c>
      <c r="C315" s="22"/>
      <c r="D315" s="77">
        <f t="shared" ref="D315:M315" si="86">SUM(D312+D311)</f>
        <v>150</v>
      </c>
      <c r="E315" s="77">
        <f t="shared" si="86"/>
        <v>150</v>
      </c>
      <c r="F315" s="77">
        <f t="shared" si="86"/>
        <v>0</v>
      </c>
      <c r="G315" s="77">
        <f t="shared" si="86"/>
        <v>0</v>
      </c>
      <c r="H315" s="77">
        <f t="shared" si="86"/>
        <v>0</v>
      </c>
      <c r="I315" s="77">
        <f t="shared" si="86"/>
        <v>0</v>
      </c>
      <c r="J315" s="77">
        <f t="shared" si="86"/>
        <v>150</v>
      </c>
      <c r="K315" s="77">
        <f t="shared" si="86"/>
        <v>0</v>
      </c>
      <c r="L315" s="77">
        <f t="shared" si="86"/>
        <v>0</v>
      </c>
      <c r="M315" s="77">
        <f t="shared" si="86"/>
        <v>0</v>
      </c>
      <c r="N315" s="151">
        <f>SUM(F315+H315+J315+L315)</f>
        <v>150</v>
      </c>
      <c r="O315" s="77">
        <f>SUM(O312+O311)</f>
        <v>0</v>
      </c>
      <c r="P315" s="286"/>
    </row>
    <row r="316" spans="1:16" ht="31.5" x14ac:dyDescent="0.2">
      <c r="A316" s="6"/>
      <c r="B316" s="26" t="s">
        <v>62</v>
      </c>
      <c r="C316" s="2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269"/>
      <c r="P316" s="286"/>
    </row>
    <row r="317" spans="1:16" ht="51.75" customHeight="1" x14ac:dyDescent="0.2">
      <c r="A317" s="426" t="s">
        <v>36</v>
      </c>
      <c r="B317" s="249" t="s">
        <v>94</v>
      </c>
      <c r="C317" s="249"/>
      <c r="D317" s="174">
        <v>2544</v>
      </c>
      <c r="E317" s="174">
        <v>2544</v>
      </c>
      <c r="F317" s="174">
        <v>194.3</v>
      </c>
      <c r="G317" s="174">
        <v>194.3</v>
      </c>
      <c r="H317" s="174">
        <v>713.3</v>
      </c>
      <c r="I317" s="174">
        <v>1107.5999999999999</v>
      </c>
      <c r="J317" s="174">
        <v>713.2</v>
      </c>
      <c r="K317" s="174">
        <v>514.20000000000005</v>
      </c>
      <c r="L317" s="174">
        <v>923.2</v>
      </c>
      <c r="M317" s="174"/>
      <c r="N317" s="150">
        <f>SUM(F317+H317+J317+L317)</f>
        <v>2544</v>
      </c>
      <c r="O317" s="270">
        <f>SUM(G317+I317+K317+M317)</f>
        <v>1816.1</v>
      </c>
      <c r="P317" s="286"/>
    </row>
    <row r="318" spans="1:16" s="1" customFormat="1" ht="43.5" customHeight="1" x14ac:dyDescent="0.2">
      <c r="A318" s="6" t="s">
        <v>12</v>
      </c>
      <c r="B318" s="22"/>
      <c r="C318" s="22"/>
      <c r="D318" s="7">
        <f t="shared" ref="D318:O318" si="87">SUM(D317)</f>
        <v>2544</v>
      </c>
      <c r="E318" s="7">
        <f t="shared" si="87"/>
        <v>2544</v>
      </c>
      <c r="F318" s="7">
        <f t="shared" si="87"/>
        <v>194.3</v>
      </c>
      <c r="G318" s="7">
        <f t="shared" si="87"/>
        <v>194.3</v>
      </c>
      <c r="H318" s="7">
        <f t="shared" si="87"/>
        <v>713.3</v>
      </c>
      <c r="I318" s="7">
        <f t="shared" si="87"/>
        <v>1107.5999999999999</v>
      </c>
      <c r="J318" s="7">
        <f t="shared" si="87"/>
        <v>713.2</v>
      </c>
      <c r="K318" s="7">
        <f t="shared" si="87"/>
        <v>514.20000000000005</v>
      </c>
      <c r="L318" s="7">
        <f t="shared" si="87"/>
        <v>923.2</v>
      </c>
      <c r="M318" s="7">
        <f t="shared" si="87"/>
        <v>0</v>
      </c>
      <c r="N318" s="7">
        <f t="shared" si="87"/>
        <v>2544</v>
      </c>
      <c r="O318" s="128">
        <f t="shared" si="87"/>
        <v>1816.1</v>
      </c>
      <c r="P318" s="288"/>
    </row>
    <row r="319" spans="1:16" s="1" customFormat="1" ht="25.5" customHeight="1" x14ac:dyDescent="0.2">
      <c r="A319" s="611"/>
      <c r="B319" s="22" t="s">
        <v>59</v>
      </c>
      <c r="C319" s="2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156"/>
      <c r="P319" s="288"/>
    </row>
    <row r="320" spans="1:16" ht="33" customHeight="1" x14ac:dyDescent="0.2">
      <c r="A320" s="612"/>
      <c r="B320" s="22" t="s">
        <v>60</v>
      </c>
      <c r="C320" s="22"/>
      <c r="D320" s="7">
        <f t="shared" ref="D320:M320" si="88">SUM(D317)</f>
        <v>2544</v>
      </c>
      <c r="E320" s="7">
        <f t="shared" si="88"/>
        <v>2544</v>
      </c>
      <c r="F320" s="7">
        <f t="shared" si="88"/>
        <v>194.3</v>
      </c>
      <c r="G320" s="7">
        <f t="shared" si="88"/>
        <v>194.3</v>
      </c>
      <c r="H320" s="7">
        <f t="shared" si="88"/>
        <v>713.3</v>
      </c>
      <c r="I320" s="7">
        <f t="shared" si="88"/>
        <v>1107.5999999999999</v>
      </c>
      <c r="J320" s="7">
        <f t="shared" si="88"/>
        <v>713.2</v>
      </c>
      <c r="K320" s="7">
        <f t="shared" si="88"/>
        <v>514.20000000000005</v>
      </c>
      <c r="L320" s="7">
        <f t="shared" si="88"/>
        <v>923.2</v>
      </c>
      <c r="M320" s="7">
        <f t="shared" si="88"/>
        <v>0</v>
      </c>
      <c r="N320" s="7">
        <f>SUM(F320+H320+J320+L320)</f>
        <v>2544</v>
      </c>
      <c r="O320" s="157">
        <f>SUM(G320+I320+K320+M320)</f>
        <v>1816.1</v>
      </c>
      <c r="P320" s="133"/>
    </row>
    <row r="321" spans="1:15" ht="33.75" customHeight="1" thickBot="1" x14ac:dyDescent="0.25">
      <c r="A321" s="635"/>
      <c r="B321" s="26" t="s">
        <v>62</v>
      </c>
      <c r="C321" s="26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36"/>
    </row>
    <row r="322" spans="1:15" ht="33.75" customHeight="1" x14ac:dyDescent="0.2">
      <c r="A322" s="38" t="s">
        <v>2</v>
      </c>
      <c r="B322" s="41"/>
      <c r="C322" s="41"/>
      <c r="D322" s="32">
        <f t="shared" ref="D322:O322" si="89">SUM(D318+D313+D307)</f>
        <v>4723.1000000000004</v>
      </c>
      <c r="E322" s="32">
        <f t="shared" si="89"/>
        <v>4723.1000000000004</v>
      </c>
      <c r="F322" s="32">
        <f t="shared" si="89"/>
        <v>424.8</v>
      </c>
      <c r="G322" s="32">
        <f t="shared" si="89"/>
        <v>424.8</v>
      </c>
      <c r="H322" s="32">
        <f t="shared" si="89"/>
        <v>1335.8</v>
      </c>
      <c r="I322" s="32">
        <f t="shared" si="89"/>
        <v>1725.5</v>
      </c>
      <c r="J322" s="32">
        <f t="shared" si="89"/>
        <v>1606.9</v>
      </c>
      <c r="K322" s="32">
        <f t="shared" si="89"/>
        <v>1470.3000000000002</v>
      </c>
      <c r="L322" s="32">
        <f t="shared" si="89"/>
        <v>1355.6</v>
      </c>
      <c r="M322" s="32">
        <f t="shared" si="89"/>
        <v>0</v>
      </c>
      <c r="N322" s="32">
        <f t="shared" si="89"/>
        <v>4723.1000000000004</v>
      </c>
      <c r="O322" s="32">
        <f t="shared" si="89"/>
        <v>3620.6</v>
      </c>
    </row>
    <row r="323" spans="1:15" s="1" customFormat="1" ht="32.25" customHeight="1" x14ac:dyDescent="0.2">
      <c r="A323" s="654"/>
      <c r="B323" s="41" t="s">
        <v>59</v>
      </c>
      <c r="C323" s="4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158"/>
    </row>
    <row r="324" spans="1:15" s="1" customFormat="1" ht="32.25" customHeight="1" x14ac:dyDescent="0.2">
      <c r="A324" s="655"/>
      <c r="B324" s="41" t="s">
        <v>60</v>
      </c>
      <c r="C324" s="41"/>
      <c r="D324" s="32">
        <f t="shared" ref="D324:M324" si="90">SUM(D320+D315+D309)</f>
        <v>4723.1000000000004</v>
      </c>
      <c r="E324" s="32">
        <f t="shared" si="90"/>
        <v>4723.1000000000004</v>
      </c>
      <c r="F324" s="32">
        <f t="shared" si="90"/>
        <v>424.8</v>
      </c>
      <c r="G324" s="32">
        <f t="shared" si="90"/>
        <v>424.8</v>
      </c>
      <c r="H324" s="32">
        <f t="shared" si="90"/>
        <v>1335.8</v>
      </c>
      <c r="I324" s="32">
        <f t="shared" si="90"/>
        <v>1725.5</v>
      </c>
      <c r="J324" s="32">
        <f t="shared" si="90"/>
        <v>1606.9</v>
      </c>
      <c r="K324" s="32">
        <f t="shared" si="90"/>
        <v>1470.3000000000002</v>
      </c>
      <c r="L324" s="32">
        <f t="shared" si="90"/>
        <v>1355.6</v>
      </c>
      <c r="M324" s="32">
        <f t="shared" si="90"/>
        <v>0</v>
      </c>
      <c r="N324" s="32">
        <f>SUM(F324+H324+J324+L324)</f>
        <v>4723.1000000000004</v>
      </c>
      <c r="O324" s="144">
        <f>SUM(G324+I324+K324+M324)</f>
        <v>3620.6000000000004</v>
      </c>
    </row>
    <row r="325" spans="1:15" s="1" customFormat="1" ht="32.25" customHeight="1" x14ac:dyDescent="0.2">
      <c r="A325" s="656"/>
      <c r="B325" s="53" t="s">
        <v>62</v>
      </c>
      <c r="C325" s="318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33"/>
      <c r="O325" s="65"/>
    </row>
    <row r="326" spans="1:15" s="1" customFormat="1" ht="32.25" customHeight="1" x14ac:dyDescent="0.25">
      <c r="A326" s="637" t="s">
        <v>37</v>
      </c>
      <c r="B326" s="639"/>
      <c r="C326" s="639"/>
      <c r="D326" s="639"/>
      <c r="E326" s="639"/>
      <c r="F326" s="639"/>
      <c r="G326" s="639"/>
      <c r="H326" s="639"/>
      <c r="I326" s="639"/>
      <c r="J326" s="639"/>
      <c r="K326" s="639"/>
      <c r="L326" s="639"/>
      <c r="M326" s="639"/>
      <c r="N326" s="660"/>
      <c r="O326" s="660"/>
    </row>
    <row r="327" spans="1:15" s="1" customFormat="1" ht="22.5" customHeight="1" x14ac:dyDescent="0.25">
      <c r="A327" s="699" t="s">
        <v>38</v>
      </c>
      <c r="B327" s="349" t="s">
        <v>97</v>
      </c>
      <c r="C327" s="351"/>
      <c r="D327" s="347"/>
      <c r="E327" s="348"/>
      <c r="F327" s="348"/>
      <c r="G327" s="348"/>
      <c r="H327" s="348"/>
      <c r="I327" s="348"/>
      <c r="J327" s="348"/>
      <c r="K327" s="348"/>
      <c r="L327" s="348"/>
      <c r="M327" s="348"/>
      <c r="N327" s="344"/>
      <c r="O327" s="344"/>
    </row>
    <row r="328" spans="1:15" ht="34.5" customHeight="1" x14ac:dyDescent="0.25">
      <c r="A328" s="700"/>
      <c r="B328" s="349" t="s">
        <v>98</v>
      </c>
      <c r="C328" s="352"/>
      <c r="D328" s="347"/>
      <c r="E328" s="348"/>
      <c r="F328" s="348"/>
      <c r="G328" s="348"/>
      <c r="H328" s="348"/>
      <c r="I328" s="348"/>
      <c r="J328" s="348"/>
      <c r="K328" s="348"/>
      <c r="L328" s="348"/>
      <c r="M328" s="350"/>
      <c r="N328" s="354">
        <f t="shared" ref="N328:O335" si="91">SUM(F328+H328+J328+L328)</f>
        <v>0</v>
      </c>
      <c r="O328" s="355">
        <f t="shared" si="91"/>
        <v>0</v>
      </c>
    </row>
    <row r="329" spans="1:15" ht="67.5" customHeight="1" x14ac:dyDescent="0.25">
      <c r="A329" s="700"/>
      <c r="B329" s="438" t="s">
        <v>145</v>
      </c>
      <c r="C329" s="352"/>
      <c r="D329" s="347">
        <v>20015.900000000001</v>
      </c>
      <c r="E329" s="348">
        <v>20015.900000000001</v>
      </c>
      <c r="F329" s="348"/>
      <c r="G329" s="348"/>
      <c r="H329" s="348">
        <v>8500</v>
      </c>
      <c r="I329" s="348">
        <f>SUM(I330+I331)</f>
        <v>530</v>
      </c>
      <c r="J329" s="348">
        <v>11515.9</v>
      </c>
      <c r="K329" s="401">
        <v>4733.6400000000003</v>
      </c>
      <c r="L329" s="401"/>
      <c r="M329" s="402"/>
      <c r="N329" s="390">
        <f t="shared" si="91"/>
        <v>20015.900000000001</v>
      </c>
      <c r="O329" s="396">
        <f t="shared" si="91"/>
        <v>5263.64</v>
      </c>
    </row>
    <row r="330" spans="1:15" ht="23.25" customHeight="1" x14ac:dyDescent="0.2">
      <c r="A330" s="700"/>
      <c r="B330" s="438" t="s">
        <v>60</v>
      </c>
      <c r="C330" s="714" t="s">
        <v>135</v>
      </c>
      <c r="D330" s="347">
        <v>3081.8</v>
      </c>
      <c r="E330" s="348">
        <v>3081.8</v>
      </c>
      <c r="F330" s="348"/>
      <c r="G330" s="348"/>
      <c r="H330" s="348">
        <v>2045.4</v>
      </c>
      <c r="I330" s="348">
        <v>530</v>
      </c>
      <c r="J330" s="348">
        <v>1036.4000000000001</v>
      </c>
      <c r="K330" s="401">
        <v>426</v>
      </c>
      <c r="L330" s="401"/>
      <c r="M330" s="402"/>
      <c r="N330" s="390">
        <f t="shared" si="91"/>
        <v>3081.8</v>
      </c>
      <c r="O330" s="253">
        <f t="shared" si="91"/>
        <v>956</v>
      </c>
    </row>
    <row r="331" spans="1:15" ht="39.75" customHeight="1" x14ac:dyDescent="0.2">
      <c r="A331" s="700"/>
      <c r="B331" s="438" t="s">
        <v>62</v>
      </c>
      <c r="C331" s="612"/>
      <c r="D331" s="347">
        <v>16934.099999999999</v>
      </c>
      <c r="E331" s="348">
        <v>16934.099999999999</v>
      </c>
      <c r="F331" s="348"/>
      <c r="G331" s="348"/>
      <c r="H331" s="348">
        <v>6454.6</v>
      </c>
      <c r="I331" s="348"/>
      <c r="J331" s="348">
        <v>10479.5</v>
      </c>
      <c r="K331" s="401">
        <v>4307.6400000000003</v>
      </c>
      <c r="L331" s="401"/>
      <c r="M331" s="402"/>
      <c r="N331" s="390">
        <f t="shared" si="91"/>
        <v>16934.099999999999</v>
      </c>
      <c r="O331" s="396">
        <f t="shared" si="91"/>
        <v>4307.6400000000003</v>
      </c>
    </row>
    <row r="332" spans="1:15" ht="51" customHeight="1" x14ac:dyDescent="0.2">
      <c r="A332" s="700"/>
      <c r="B332" s="439" t="s">
        <v>133</v>
      </c>
      <c r="C332" s="612"/>
      <c r="D332" s="347"/>
      <c r="E332" s="348"/>
      <c r="F332" s="348"/>
      <c r="G332" s="348"/>
      <c r="H332" s="348"/>
      <c r="I332" s="348"/>
      <c r="J332" s="348"/>
      <c r="K332" s="401"/>
      <c r="L332" s="401"/>
      <c r="M332" s="402"/>
      <c r="N332" s="390">
        <f t="shared" si="91"/>
        <v>0</v>
      </c>
      <c r="O332" s="396">
        <f t="shared" si="91"/>
        <v>0</v>
      </c>
    </row>
    <row r="333" spans="1:15" ht="54" customHeight="1" x14ac:dyDescent="0.2">
      <c r="A333" s="700"/>
      <c r="B333" s="438" t="s">
        <v>198</v>
      </c>
      <c r="C333" s="612"/>
      <c r="D333" s="347">
        <f>SUM(D334+D335)</f>
        <v>2611.6999999999998</v>
      </c>
      <c r="E333" s="347">
        <f>SUM(E334+E335)</f>
        <v>2611.6999999999998</v>
      </c>
      <c r="F333" s="348"/>
      <c r="G333" s="348"/>
      <c r="H333" s="347">
        <f>SUM(H334+H335)</f>
        <v>1800.6999999999998</v>
      </c>
      <c r="I333" s="347">
        <f>SUM(I334+I335)</f>
        <v>1455.85</v>
      </c>
      <c r="J333" s="347">
        <f>SUM(J334+J335)</f>
        <v>811</v>
      </c>
      <c r="K333" s="401"/>
      <c r="L333" s="401"/>
      <c r="M333" s="402"/>
      <c r="N333" s="390">
        <f t="shared" si="91"/>
        <v>2611.6999999999998</v>
      </c>
      <c r="O333" s="396">
        <f t="shared" si="91"/>
        <v>1455.85</v>
      </c>
    </row>
    <row r="334" spans="1:15" s="497" customFormat="1" ht="27.75" customHeight="1" x14ac:dyDescent="0.2">
      <c r="A334" s="700"/>
      <c r="B334" s="438" t="s">
        <v>60</v>
      </c>
      <c r="C334" s="612"/>
      <c r="D334" s="347">
        <v>239.7</v>
      </c>
      <c r="E334" s="348">
        <v>239.7</v>
      </c>
      <c r="F334" s="348"/>
      <c r="G334" s="348"/>
      <c r="H334" s="348">
        <v>162.1</v>
      </c>
      <c r="I334" s="348">
        <v>131</v>
      </c>
      <c r="J334" s="348">
        <v>77.599999999999994</v>
      </c>
      <c r="K334" s="401"/>
      <c r="L334" s="401"/>
      <c r="M334" s="402"/>
      <c r="N334" s="390">
        <f t="shared" si="91"/>
        <v>239.7</v>
      </c>
      <c r="O334" s="396">
        <f t="shared" si="91"/>
        <v>131</v>
      </c>
    </row>
    <row r="335" spans="1:15" s="497" customFormat="1" ht="35.25" customHeight="1" x14ac:dyDescent="0.2">
      <c r="A335" s="700"/>
      <c r="B335" s="438" t="s">
        <v>62</v>
      </c>
      <c r="C335" s="612"/>
      <c r="D335" s="347">
        <v>2372</v>
      </c>
      <c r="E335" s="348">
        <v>2372</v>
      </c>
      <c r="F335" s="348"/>
      <c r="G335" s="348"/>
      <c r="H335" s="348">
        <v>1638.6</v>
      </c>
      <c r="I335" s="348">
        <v>1324.85</v>
      </c>
      <c r="J335" s="348">
        <v>733.4</v>
      </c>
      <c r="K335" s="401"/>
      <c r="L335" s="401"/>
      <c r="M335" s="402"/>
      <c r="N335" s="390">
        <f t="shared" si="91"/>
        <v>2372</v>
      </c>
      <c r="O335" s="396">
        <f t="shared" si="91"/>
        <v>1324.85</v>
      </c>
    </row>
    <row r="336" spans="1:15" ht="39.75" customHeight="1" x14ac:dyDescent="0.2">
      <c r="A336" s="700"/>
      <c r="B336" s="438" t="s">
        <v>199</v>
      </c>
      <c r="C336" s="612"/>
      <c r="D336" s="347">
        <v>909.4</v>
      </c>
      <c r="E336" s="347">
        <v>909.4</v>
      </c>
      <c r="F336" s="348"/>
      <c r="G336" s="348"/>
      <c r="H336" s="348"/>
      <c r="I336" s="348"/>
      <c r="J336" s="348">
        <v>909.4</v>
      </c>
      <c r="K336" s="401">
        <v>540.70000000000005</v>
      </c>
      <c r="L336" s="401"/>
      <c r="M336" s="402"/>
      <c r="N336" s="390">
        <f t="shared" ref="N336:O339" si="92">SUM(F336+H336+J336+L336)</f>
        <v>909.4</v>
      </c>
      <c r="O336" s="396">
        <f t="shared" si="92"/>
        <v>540.70000000000005</v>
      </c>
    </row>
    <row r="337" spans="1:15" ht="35.25" customHeight="1" x14ac:dyDescent="0.2">
      <c r="A337" s="700"/>
      <c r="B337" s="438" t="s">
        <v>200</v>
      </c>
      <c r="C337" s="612"/>
      <c r="D337" s="347">
        <v>598</v>
      </c>
      <c r="E337" s="348">
        <v>598</v>
      </c>
      <c r="F337" s="348"/>
      <c r="G337" s="348"/>
      <c r="H337" s="348"/>
      <c r="I337" s="348"/>
      <c r="J337" s="348">
        <v>598</v>
      </c>
      <c r="K337" s="401"/>
      <c r="L337" s="401"/>
      <c r="M337" s="402"/>
      <c r="N337" s="390">
        <f t="shared" si="92"/>
        <v>598</v>
      </c>
      <c r="O337" s="396">
        <f t="shared" si="92"/>
        <v>0</v>
      </c>
    </row>
    <row r="338" spans="1:15" s="346" customFormat="1" ht="42" customHeight="1" x14ac:dyDescent="0.2">
      <c r="A338" s="701"/>
      <c r="B338" s="438" t="s">
        <v>201</v>
      </c>
      <c r="C338" s="612"/>
      <c r="D338" s="347">
        <v>120</v>
      </c>
      <c r="E338" s="348">
        <v>120</v>
      </c>
      <c r="F338" s="348"/>
      <c r="G338" s="348"/>
      <c r="H338" s="348">
        <v>120</v>
      </c>
      <c r="I338" s="348">
        <v>120</v>
      </c>
      <c r="J338" s="348"/>
      <c r="K338" s="401"/>
      <c r="L338" s="401"/>
      <c r="M338" s="402"/>
      <c r="N338" s="397">
        <f t="shared" si="92"/>
        <v>120</v>
      </c>
      <c r="O338" s="398">
        <f t="shared" si="92"/>
        <v>120</v>
      </c>
    </row>
    <row r="339" spans="1:15" ht="44.25" customHeight="1" x14ac:dyDescent="0.2">
      <c r="A339" s="700"/>
      <c r="B339" s="438" t="s">
        <v>155</v>
      </c>
      <c r="C339" s="612"/>
      <c r="D339" s="347">
        <v>729.4</v>
      </c>
      <c r="E339" s="347">
        <v>729.4</v>
      </c>
      <c r="F339" s="348"/>
      <c r="G339" s="348"/>
      <c r="H339" s="348">
        <v>663.4</v>
      </c>
      <c r="I339" s="348">
        <v>603.20000000000005</v>
      </c>
      <c r="J339" s="348">
        <v>66</v>
      </c>
      <c r="K339" s="401"/>
      <c r="L339" s="401"/>
      <c r="M339" s="403"/>
      <c r="N339" s="390">
        <f t="shared" si="92"/>
        <v>729.4</v>
      </c>
      <c r="O339" s="396">
        <f t="shared" si="92"/>
        <v>603.20000000000005</v>
      </c>
    </row>
    <row r="340" spans="1:15" ht="22.5" customHeight="1" x14ac:dyDescent="0.2">
      <c r="A340" s="700"/>
      <c r="B340" s="438" t="s">
        <v>60</v>
      </c>
      <c r="C340" s="612"/>
      <c r="D340" s="347">
        <v>127</v>
      </c>
      <c r="E340" s="348">
        <v>127</v>
      </c>
      <c r="F340" s="348"/>
      <c r="G340" s="348"/>
      <c r="H340" s="348">
        <v>61</v>
      </c>
      <c r="I340" s="348">
        <v>54.3</v>
      </c>
      <c r="J340" s="348">
        <v>66</v>
      </c>
      <c r="K340" s="401"/>
      <c r="L340" s="401"/>
      <c r="M340" s="403"/>
      <c r="N340" s="390">
        <f t="shared" ref="N340:O342" si="93">SUM(F340+H340+J340+L340)</f>
        <v>127</v>
      </c>
      <c r="O340" s="396">
        <f t="shared" si="93"/>
        <v>54.3</v>
      </c>
    </row>
    <row r="341" spans="1:15" s="381" customFormat="1" ht="31.5" customHeight="1" x14ac:dyDescent="0.2">
      <c r="A341" s="700"/>
      <c r="B341" s="438" t="s">
        <v>62</v>
      </c>
      <c r="C341" s="612"/>
      <c r="D341" s="347">
        <v>602.4</v>
      </c>
      <c r="E341" s="348">
        <v>602.4</v>
      </c>
      <c r="F341" s="348"/>
      <c r="G341" s="348"/>
      <c r="H341" s="348">
        <v>602</v>
      </c>
      <c r="I341" s="348">
        <v>548.9</v>
      </c>
      <c r="J341" s="348"/>
      <c r="K341" s="401"/>
      <c r="L341" s="400"/>
      <c r="M341" s="402"/>
      <c r="N341" s="390">
        <f t="shared" si="93"/>
        <v>602</v>
      </c>
      <c r="O341" s="396">
        <f t="shared" si="93"/>
        <v>548.9</v>
      </c>
    </row>
    <row r="342" spans="1:15" ht="36" customHeight="1" x14ac:dyDescent="0.2">
      <c r="A342" s="700"/>
      <c r="B342" s="438" t="s">
        <v>146</v>
      </c>
      <c r="C342" s="613"/>
      <c r="D342" s="347">
        <v>728.8</v>
      </c>
      <c r="E342" s="347">
        <v>728.8</v>
      </c>
      <c r="F342" s="348"/>
      <c r="G342" s="348"/>
      <c r="H342" s="347">
        <v>580</v>
      </c>
      <c r="I342" s="348">
        <v>580</v>
      </c>
      <c r="J342" s="348">
        <v>148.80000000000001</v>
      </c>
      <c r="K342" s="401"/>
      <c r="L342" s="400"/>
      <c r="M342" s="402"/>
      <c r="N342" s="390">
        <f t="shared" si="93"/>
        <v>728.8</v>
      </c>
      <c r="O342" s="396">
        <f t="shared" si="93"/>
        <v>580</v>
      </c>
    </row>
    <row r="343" spans="1:15" ht="38.25" customHeight="1" x14ac:dyDescent="0.2">
      <c r="A343" s="6" t="s">
        <v>12</v>
      </c>
      <c r="B343" s="22"/>
      <c r="C343" s="80"/>
      <c r="D343" s="50">
        <f>SUM(D342+D339+D338+D337+D336+D333+D329)</f>
        <v>25713.200000000001</v>
      </c>
      <c r="E343" s="50">
        <f>SUM(E342+E339+E338+E337+E336+E333+E329)</f>
        <v>25713.200000000001</v>
      </c>
      <c r="F343" s="50">
        <f>SUM(F329+F333+F336+F337+F338+F339+F342)</f>
        <v>0</v>
      </c>
      <c r="G343" s="50">
        <f>F343</f>
        <v>0</v>
      </c>
      <c r="H343" s="50">
        <f>SUM(H342+H339+H338+H337+H336+H333+H329)</f>
        <v>11664.1</v>
      </c>
      <c r="I343" s="50">
        <f>SUM(I342+I339+I338+I337+I336+I333+I329)</f>
        <v>3289.05</v>
      </c>
      <c r="J343" s="50">
        <f>SUM(J342+J339+J338+J337+J336+J333+J329)</f>
        <v>14049.099999999999</v>
      </c>
      <c r="K343" s="50">
        <f>SUM(K342+K339+K338+K337+K336+K333+K329)</f>
        <v>5274.34</v>
      </c>
      <c r="L343" s="50">
        <f>K343</f>
        <v>5274.34</v>
      </c>
      <c r="M343" s="50">
        <f>L343</f>
        <v>5274.34</v>
      </c>
      <c r="N343" s="50">
        <f>SUM(N342+N339+N338+N337+N336+N333+N329)</f>
        <v>25713.200000000001</v>
      </c>
      <c r="O343" s="50">
        <f>SUM(O329+O333+O336+O337+O338+O339+O342)</f>
        <v>8563.39</v>
      </c>
    </row>
    <row r="344" spans="1:15" ht="28.5" customHeight="1" thickBot="1" x14ac:dyDescent="0.25">
      <c r="A344" s="94"/>
      <c r="B344" s="22" t="s">
        <v>59</v>
      </c>
      <c r="C344" s="3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5"/>
      <c r="O344" s="136"/>
    </row>
    <row r="345" spans="1:15" s="1" customFormat="1" ht="33" customHeight="1" x14ac:dyDescent="0.2">
      <c r="A345" s="94"/>
      <c r="B345" s="22" t="s">
        <v>60</v>
      </c>
      <c r="C345" s="319"/>
      <c r="D345" s="50">
        <f t="shared" ref="D345:O345" si="94">SUM(D342+D340+D338+D337+D336+D334+D330)</f>
        <v>5804.7</v>
      </c>
      <c r="E345" s="50">
        <f t="shared" si="94"/>
        <v>5804.7</v>
      </c>
      <c r="F345" s="50">
        <f t="shared" si="94"/>
        <v>0</v>
      </c>
      <c r="G345" s="50">
        <f t="shared" si="94"/>
        <v>0</v>
      </c>
      <c r="H345" s="50">
        <f t="shared" si="94"/>
        <v>2968.5</v>
      </c>
      <c r="I345" s="50">
        <f t="shared" si="94"/>
        <v>1415.3</v>
      </c>
      <c r="J345" s="50">
        <f t="shared" si="94"/>
        <v>2836.2</v>
      </c>
      <c r="K345" s="50">
        <f t="shared" si="94"/>
        <v>966.7</v>
      </c>
      <c r="L345" s="50">
        <f t="shared" si="94"/>
        <v>0</v>
      </c>
      <c r="M345" s="50">
        <f t="shared" si="94"/>
        <v>0</v>
      </c>
      <c r="N345" s="50">
        <f t="shared" si="94"/>
        <v>5804.7</v>
      </c>
      <c r="O345" s="50">
        <f t="shared" si="94"/>
        <v>2382</v>
      </c>
    </row>
    <row r="346" spans="1:15" s="1" customFormat="1" ht="37.5" customHeight="1" x14ac:dyDescent="0.2">
      <c r="A346" s="94"/>
      <c r="B346" s="26" t="s">
        <v>62</v>
      </c>
      <c r="C346" s="320"/>
      <c r="D346" s="14">
        <f t="shared" ref="D346:O346" si="95">SUM(D341+D335+D331)</f>
        <v>19908.5</v>
      </c>
      <c r="E346" s="14">
        <f t="shared" si="95"/>
        <v>19908.5</v>
      </c>
      <c r="F346" s="14">
        <f t="shared" si="95"/>
        <v>0</v>
      </c>
      <c r="G346" s="14">
        <f t="shared" si="95"/>
        <v>0</v>
      </c>
      <c r="H346" s="14">
        <f t="shared" si="95"/>
        <v>8695.2000000000007</v>
      </c>
      <c r="I346" s="14">
        <f t="shared" si="95"/>
        <v>1873.75</v>
      </c>
      <c r="J346" s="14">
        <f t="shared" si="95"/>
        <v>11212.9</v>
      </c>
      <c r="K346" s="14">
        <f t="shared" si="95"/>
        <v>4307.6400000000003</v>
      </c>
      <c r="L346" s="14">
        <f t="shared" si="95"/>
        <v>0</v>
      </c>
      <c r="M346" s="14">
        <f t="shared" si="95"/>
        <v>0</v>
      </c>
      <c r="N346" s="14">
        <f t="shared" si="95"/>
        <v>19908.099999999999</v>
      </c>
      <c r="O346" s="14">
        <f t="shared" si="95"/>
        <v>6181.39</v>
      </c>
    </row>
    <row r="347" spans="1:15" ht="27" customHeight="1" x14ac:dyDescent="0.2">
      <c r="A347" s="30" t="s">
        <v>2</v>
      </c>
      <c r="B347" s="41"/>
      <c r="C347" s="41"/>
      <c r="D347" s="52">
        <f t="shared" ref="D347:O347" si="96">SUM(D343)</f>
        <v>25713.200000000001</v>
      </c>
      <c r="E347" s="52">
        <f t="shared" si="96"/>
        <v>25713.200000000001</v>
      </c>
      <c r="F347" s="52">
        <f t="shared" si="96"/>
        <v>0</v>
      </c>
      <c r="G347" s="52">
        <f t="shared" si="96"/>
        <v>0</v>
      </c>
      <c r="H347" s="52">
        <f t="shared" si="96"/>
        <v>11664.1</v>
      </c>
      <c r="I347" s="52">
        <f t="shared" si="96"/>
        <v>3289.05</v>
      </c>
      <c r="J347" s="52">
        <f t="shared" si="96"/>
        <v>14049.099999999999</v>
      </c>
      <c r="K347" s="52">
        <f t="shared" si="96"/>
        <v>5274.34</v>
      </c>
      <c r="L347" s="52">
        <f t="shared" si="96"/>
        <v>5274.34</v>
      </c>
      <c r="M347" s="52">
        <f t="shared" si="96"/>
        <v>5274.34</v>
      </c>
      <c r="N347" s="52">
        <f t="shared" si="96"/>
        <v>25713.200000000001</v>
      </c>
      <c r="O347" s="52">
        <f t="shared" si="96"/>
        <v>8563.39</v>
      </c>
    </row>
    <row r="348" spans="1:15" s="1" customFormat="1" ht="32.25" customHeight="1" x14ac:dyDescent="0.2">
      <c r="A348" s="30"/>
      <c r="B348" s="41" t="s">
        <v>59</v>
      </c>
      <c r="C348" s="41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65"/>
    </row>
    <row r="349" spans="1:15" s="1" customFormat="1" ht="31.5" customHeight="1" x14ac:dyDescent="0.2">
      <c r="A349" s="30"/>
      <c r="B349" s="41" t="s">
        <v>60</v>
      </c>
      <c r="C349" s="41"/>
      <c r="D349" s="52">
        <f t="shared" ref="D349:M349" si="97">SUM(D345)</f>
        <v>5804.7</v>
      </c>
      <c r="E349" s="52">
        <f t="shared" si="97"/>
        <v>5804.7</v>
      </c>
      <c r="F349" s="52">
        <f t="shared" si="97"/>
        <v>0</v>
      </c>
      <c r="G349" s="52">
        <f t="shared" si="97"/>
        <v>0</v>
      </c>
      <c r="H349" s="52">
        <f t="shared" si="97"/>
        <v>2968.5</v>
      </c>
      <c r="I349" s="52">
        <f t="shared" si="97"/>
        <v>1415.3</v>
      </c>
      <c r="J349" s="52">
        <f t="shared" si="97"/>
        <v>2836.2</v>
      </c>
      <c r="K349" s="52">
        <f t="shared" si="97"/>
        <v>966.7</v>
      </c>
      <c r="L349" s="52">
        <f t="shared" si="97"/>
        <v>0</v>
      </c>
      <c r="M349" s="52">
        <f t="shared" si="97"/>
        <v>0</v>
      </c>
      <c r="N349" s="52">
        <f>SUM(F349+H349+J349+L349)</f>
        <v>5804.7</v>
      </c>
      <c r="O349" s="52">
        <f>SUM(G349+I349+K349+M349)</f>
        <v>2382</v>
      </c>
    </row>
    <row r="350" spans="1:15" s="1" customFormat="1" ht="30" customHeight="1" x14ac:dyDescent="0.2">
      <c r="A350" s="30"/>
      <c r="B350" s="53" t="s">
        <v>62</v>
      </c>
      <c r="C350" s="53"/>
      <c r="D350" s="52">
        <f t="shared" ref="D350:M350" si="98">SUM(D346)</f>
        <v>19908.5</v>
      </c>
      <c r="E350" s="52">
        <f t="shared" si="98"/>
        <v>19908.5</v>
      </c>
      <c r="F350" s="52">
        <f t="shared" si="98"/>
        <v>0</v>
      </c>
      <c r="G350" s="52">
        <f t="shared" si="98"/>
        <v>0</v>
      </c>
      <c r="H350" s="52">
        <f t="shared" si="98"/>
        <v>8695.2000000000007</v>
      </c>
      <c r="I350" s="52">
        <f t="shared" si="98"/>
        <v>1873.75</v>
      </c>
      <c r="J350" s="52">
        <f t="shared" si="98"/>
        <v>11212.9</v>
      </c>
      <c r="K350" s="52">
        <f t="shared" si="98"/>
        <v>4307.6400000000003</v>
      </c>
      <c r="L350" s="52">
        <f t="shared" si="98"/>
        <v>0</v>
      </c>
      <c r="M350" s="52">
        <f t="shared" si="98"/>
        <v>0</v>
      </c>
      <c r="N350" s="52">
        <f>SUM(N346)</f>
        <v>19908.099999999999</v>
      </c>
      <c r="O350" s="52">
        <f>SUM(O346)</f>
        <v>6181.39</v>
      </c>
    </row>
    <row r="351" spans="1:15" s="1" customFormat="1" ht="24.75" customHeight="1" x14ac:dyDescent="0.2">
      <c r="A351" s="647" t="s">
        <v>39</v>
      </c>
      <c r="B351" s="648"/>
      <c r="C351" s="649"/>
      <c r="D351" s="649"/>
      <c r="E351" s="649"/>
      <c r="F351" s="649"/>
      <c r="G351" s="649"/>
      <c r="H351" s="649"/>
      <c r="I351" s="649"/>
      <c r="J351" s="649"/>
      <c r="K351" s="649"/>
      <c r="L351" s="649"/>
      <c r="M351" s="649"/>
      <c r="N351" s="650"/>
      <c r="O351" s="399"/>
    </row>
    <row r="352" spans="1:15" s="1" customFormat="1" ht="37.5" customHeight="1" x14ac:dyDescent="0.25">
      <c r="A352" s="606" t="s">
        <v>40</v>
      </c>
      <c r="B352" s="230" t="s">
        <v>95</v>
      </c>
      <c r="C352" s="230"/>
      <c r="D352" s="254">
        <v>26305.7</v>
      </c>
      <c r="E352" s="254">
        <v>26305.7</v>
      </c>
      <c r="F352" s="199">
        <v>6116.4</v>
      </c>
      <c r="G352" s="199">
        <v>6116.4</v>
      </c>
      <c r="H352" s="199">
        <v>6729.8</v>
      </c>
      <c r="I352" s="199">
        <v>6308.2</v>
      </c>
      <c r="J352" s="199">
        <v>6729.8</v>
      </c>
      <c r="K352" s="199">
        <v>7320.2</v>
      </c>
      <c r="L352" s="199">
        <v>6729.7</v>
      </c>
      <c r="M352" s="199"/>
      <c r="N352" s="255">
        <f t="shared" ref="N352:N356" si="99">SUM(F352+H352+J352+L352)</f>
        <v>26305.7</v>
      </c>
      <c r="O352" s="255">
        <f>SUM(G352+I352+K352+M352)</f>
        <v>19744.8</v>
      </c>
    </row>
    <row r="353" spans="1:15" ht="47.25" x14ac:dyDescent="0.25">
      <c r="A353" s="602"/>
      <c r="B353" s="230" t="s">
        <v>55</v>
      </c>
      <c r="C353" s="230"/>
      <c r="D353" s="256">
        <v>12.4</v>
      </c>
      <c r="E353" s="256">
        <v>12.4</v>
      </c>
      <c r="F353" s="257">
        <v>12.4</v>
      </c>
      <c r="G353" s="440">
        <v>3</v>
      </c>
      <c r="H353" s="257"/>
      <c r="I353" s="257">
        <v>4</v>
      </c>
      <c r="J353" s="257"/>
      <c r="K353" s="257">
        <v>5.4</v>
      </c>
      <c r="L353" s="258"/>
      <c r="M353" s="257"/>
      <c r="N353" s="259">
        <f t="shared" si="99"/>
        <v>12.4</v>
      </c>
      <c r="O353" s="259">
        <f t="shared" ref="O353:O356" si="100">SUM(G353+I353+K353+M353)</f>
        <v>12.4</v>
      </c>
    </row>
    <row r="354" spans="1:15" ht="57" customHeight="1" x14ac:dyDescent="0.25">
      <c r="A354" s="602"/>
      <c r="B354" s="230" t="s">
        <v>47</v>
      </c>
      <c r="C354" s="230"/>
      <c r="D354" s="254">
        <v>28064.7</v>
      </c>
      <c r="E354" s="254">
        <v>28064.7</v>
      </c>
      <c r="F354" s="199">
        <v>6102.3</v>
      </c>
      <c r="G354" s="199">
        <v>6102.3</v>
      </c>
      <c r="H354" s="199">
        <v>7396.3</v>
      </c>
      <c r="I354" s="199">
        <v>6959.3</v>
      </c>
      <c r="J354" s="199">
        <v>7396.4</v>
      </c>
      <c r="K354" s="199">
        <v>6257.7</v>
      </c>
      <c r="L354" s="199">
        <v>7169.7</v>
      </c>
      <c r="M354" s="199"/>
      <c r="N354" s="254">
        <f t="shared" si="99"/>
        <v>28064.7</v>
      </c>
      <c r="O354" s="254">
        <f t="shared" si="100"/>
        <v>19319.3</v>
      </c>
    </row>
    <row r="355" spans="1:15" s="497" customFormat="1" ht="57" customHeight="1" x14ac:dyDescent="0.25">
      <c r="A355" s="602"/>
      <c r="B355" s="230" t="s">
        <v>206</v>
      </c>
      <c r="C355" s="230"/>
      <c r="D355" s="254">
        <v>785.3</v>
      </c>
      <c r="E355" s="254">
        <v>785.3</v>
      </c>
      <c r="F355" s="199"/>
      <c r="G355" s="199"/>
      <c r="H355" s="199"/>
      <c r="I355" s="199"/>
      <c r="J355" s="254">
        <v>785.3</v>
      </c>
      <c r="K355" s="199">
        <v>356.8</v>
      </c>
      <c r="L355" s="199"/>
      <c r="M355" s="199"/>
      <c r="N355" s="254">
        <f t="shared" si="99"/>
        <v>785.3</v>
      </c>
      <c r="O355" s="254">
        <f t="shared" si="100"/>
        <v>356.8</v>
      </c>
    </row>
    <row r="356" spans="1:15" ht="66" customHeight="1" x14ac:dyDescent="0.25">
      <c r="A356" s="602"/>
      <c r="B356" s="230" t="s">
        <v>49</v>
      </c>
      <c r="C356" s="230"/>
      <c r="D356" s="254">
        <v>7780.7</v>
      </c>
      <c r="E356" s="254">
        <v>7780.7</v>
      </c>
      <c r="F356" s="199">
        <v>1809.7</v>
      </c>
      <c r="G356" s="199">
        <v>1809.7</v>
      </c>
      <c r="H356" s="199">
        <v>1914.8</v>
      </c>
      <c r="I356" s="199">
        <v>1878.9</v>
      </c>
      <c r="J356" s="199">
        <v>1914.7</v>
      </c>
      <c r="K356" s="199">
        <v>1848.6</v>
      </c>
      <c r="L356" s="199">
        <v>2141.5</v>
      </c>
      <c r="M356" s="199"/>
      <c r="N356" s="254">
        <f t="shared" si="99"/>
        <v>7780.7</v>
      </c>
      <c r="O356" s="254">
        <f t="shared" si="100"/>
        <v>5537.2000000000007</v>
      </c>
    </row>
    <row r="357" spans="1:15" ht="51.75" customHeight="1" x14ac:dyDescent="0.2">
      <c r="A357" s="6" t="s">
        <v>12</v>
      </c>
      <c r="B357" s="22"/>
      <c r="C357" s="22"/>
      <c r="D357" s="15">
        <f t="shared" ref="D357:O357" si="101">SUM(D356+D354+D353+D352)</f>
        <v>62163.5</v>
      </c>
      <c r="E357" s="15">
        <f t="shared" si="101"/>
        <v>62163.5</v>
      </c>
      <c r="F357" s="15">
        <f t="shared" si="101"/>
        <v>14040.8</v>
      </c>
      <c r="G357" s="15">
        <f t="shared" si="101"/>
        <v>14031.4</v>
      </c>
      <c r="H357" s="15">
        <f t="shared" si="101"/>
        <v>16040.900000000001</v>
      </c>
      <c r="I357" s="15">
        <f t="shared" si="101"/>
        <v>15150.400000000001</v>
      </c>
      <c r="J357" s="15">
        <f t="shared" si="101"/>
        <v>16040.900000000001</v>
      </c>
      <c r="K357" s="15">
        <f t="shared" si="101"/>
        <v>15431.899999999998</v>
      </c>
      <c r="L357" s="15">
        <f t="shared" si="101"/>
        <v>16040.900000000001</v>
      </c>
      <c r="M357" s="15">
        <f t="shared" si="101"/>
        <v>0</v>
      </c>
      <c r="N357" s="15">
        <f t="shared" si="101"/>
        <v>62163.5</v>
      </c>
      <c r="O357" s="15">
        <f t="shared" si="101"/>
        <v>44613.7</v>
      </c>
    </row>
    <row r="358" spans="1:15" ht="26.25" customHeight="1" x14ac:dyDescent="0.2">
      <c r="A358" s="94"/>
      <c r="B358" s="22" t="s">
        <v>59</v>
      </c>
      <c r="C358" s="22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36"/>
    </row>
    <row r="359" spans="1:15" s="1" customFormat="1" ht="34.5" customHeight="1" x14ac:dyDescent="0.2">
      <c r="A359" s="94"/>
      <c r="B359" s="22" t="s">
        <v>60</v>
      </c>
      <c r="C359" s="22"/>
      <c r="D359" s="15">
        <f t="shared" ref="D359:O359" si="102">SUM(D356+D354+D352)</f>
        <v>62151.100000000006</v>
      </c>
      <c r="E359" s="15">
        <f t="shared" si="102"/>
        <v>62151.100000000006</v>
      </c>
      <c r="F359" s="15">
        <f t="shared" si="102"/>
        <v>14028.4</v>
      </c>
      <c r="G359" s="15">
        <f t="shared" si="102"/>
        <v>14028.4</v>
      </c>
      <c r="H359" s="15">
        <f t="shared" si="102"/>
        <v>16040.900000000001</v>
      </c>
      <c r="I359" s="15">
        <f t="shared" si="102"/>
        <v>15146.400000000001</v>
      </c>
      <c r="J359" s="15">
        <f t="shared" si="102"/>
        <v>16040.900000000001</v>
      </c>
      <c r="K359" s="15">
        <f t="shared" si="102"/>
        <v>15426.5</v>
      </c>
      <c r="L359" s="15">
        <f t="shared" si="102"/>
        <v>16040.900000000001</v>
      </c>
      <c r="M359" s="15">
        <f t="shared" si="102"/>
        <v>0</v>
      </c>
      <c r="N359" s="15">
        <f t="shared" si="102"/>
        <v>62151.100000000006</v>
      </c>
      <c r="O359" s="15">
        <f t="shared" si="102"/>
        <v>44601.3</v>
      </c>
    </row>
    <row r="360" spans="1:15" s="1" customFormat="1" ht="32.25" customHeight="1" x14ac:dyDescent="0.2">
      <c r="A360" s="94"/>
      <c r="B360" s="26" t="s">
        <v>62</v>
      </c>
      <c r="C360" s="26"/>
      <c r="D360" s="15">
        <f t="shared" ref="D360:O360" si="103">SUM(D353)</f>
        <v>12.4</v>
      </c>
      <c r="E360" s="15">
        <f t="shared" si="103"/>
        <v>12.4</v>
      </c>
      <c r="F360" s="15">
        <f t="shared" si="103"/>
        <v>12.4</v>
      </c>
      <c r="G360" s="15">
        <f t="shared" si="103"/>
        <v>3</v>
      </c>
      <c r="H360" s="15">
        <f t="shared" si="103"/>
        <v>0</v>
      </c>
      <c r="I360" s="15">
        <f t="shared" si="103"/>
        <v>4</v>
      </c>
      <c r="J360" s="15">
        <f t="shared" si="103"/>
        <v>0</v>
      </c>
      <c r="K360" s="15">
        <f t="shared" si="103"/>
        <v>5.4</v>
      </c>
      <c r="L360" s="15">
        <f t="shared" si="103"/>
        <v>0</v>
      </c>
      <c r="M360" s="15">
        <f t="shared" si="103"/>
        <v>0</v>
      </c>
      <c r="N360" s="404">
        <f t="shared" si="103"/>
        <v>12.4</v>
      </c>
      <c r="O360" s="404">
        <f t="shared" si="103"/>
        <v>12.4</v>
      </c>
    </row>
    <row r="361" spans="1:15" s="1" customFormat="1" ht="32.25" customHeight="1" x14ac:dyDescent="0.25">
      <c r="A361" s="651" t="s">
        <v>41</v>
      </c>
      <c r="B361" s="591" t="s">
        <v>52</v>
      </c>
      <c r="C361" s="301"/>
      <c r="D361" s="592">
        <v>466.2</v>
      </c>
      <c r="E361" s="592">
        <v>466.2</v>
      </c>
      <c r="F361" s="408"/>
      <c r="G361" s="409"/>
      <c r="H361" s="408"/>
      <c r="I361" s="408"/>
      <c r="J361" s="407"/>
      <c r="K361" s="409"/>
      <c r="L361" s="410">
        <v>466.2</v>
      </c>
      <c r="M361" s="408"/>
      <c r="N361" s="180">
        <f>SUM(F361+H361+J361+L361)</f>
        <v>466.2</v>
      </c>
      <c r="O361" s="181">
        <f>SUM(G361+I361+K361+M361)</f>
        <v>0</v>
      </c>
    </row>
    <row r="362" spans="1:15" s="1" customFormat="1" ht="19.5" customHeight="1" x14ac:dyDescent="0.25">
      <c r="A362" s="652"/>
      <c r="B362" s="574" t="s">
        <v>59</v>
      </c>
      <c r="C362" s="302"/>
      <c r="D362" s="592"/>
      <c r="E362" s="592"/>
      <c r="F362" s="408"/>
      <c r="G362" s="408"/>
      <c r="H362" s="408"/>
      <c r="I362" s="408"/>
      <c r="J362" s="408"/>
      <c r="K362" s="409"/>
      <c r="L362" s="408"/>
      <c r="M362" s="408"/>
      <c r="N362" s="182"/>
      <c r="O362" s="183"/>
    </row>
    <row r="363" spans="1:15" s="1" customFormat="1" ht="24.75" customHeight="1" x14ac:dyDescent="0.25">
      <c r="A363" s="652"/>
      <c r="B363" s="574" t="s">
        <v>60</v>
      </c>
      <c r="C363" s="302"/>
      <c r="D363" s="592">
        <v>466.2</v>
      </c>
      <c r="E363" s="592">
        <v>466.2</v>
      </c>
      <c r="F363" s="408"/>
      <c r="G363" s="409"/>
      <c r="H363" s="408"/>
      <c r="I363" s="408"/>
      <c r="J363" s="548"/>
      <c r="K363" s="409"/>
      <c r="L363" s="410">
        <v>466.2</v>
      </c>
      <c r="M363" s="408"/>
      <c r="N363" s="180">
        <f>SUM(F363+H363+J363+L363)</f>
        <v>466.2</v>
      </c>
      <c r="O363" s="181">
        <f>SUM(G363+I363+K363+M363)</f>
        <v>0</v>
      </c>
    </row>
    <row r="364" spans="1:15" s="1" customFormat="1" ht="32.25" customHeight="1" x14ac:dyDescent="0.25">
      <c r="A364" s="652"/>
      <c r="B364" s="574" t="s">
        <v>61</v>
      </c>
      <c r="C364" s="302"/>
      <c r="D364" s="592"/>
      <c r="E364" s="592"/>
      <c r="F364" s="408"/>
      <c r="G364" s="407"/>
      <c r="H364" s="407"/>
      <c r="I364" s="408"/>
      <c r="J364" s="407"/>
      <c r="K364" s="408"/>
      <c r="L364" s="407"/>
      <c r="M364" s="408"/>
      <c r="N364" s="182"/>
      <c r="O364" s="183"/>
    </row>
    <row r="365" spans="1:15" s="1" customFormat="1" ht="31.5" customHeight="1" x14ac:dyDescent="0.25">
      <c r="A365" s="652"/>
      <c r="B365" s="574" t="s">
        <v>147</v>
      </c>
      <c r="C365" s="251"/>
      <c r="D365" s="593">
        <v>768.4</v>
      </c>
      <c r="E365" s="593">
        <v>768.4</v>
      </c>
      <c r="F365" s="411">
        <v>768.4</v>
      </c>
      <c r="G365" s="411">
        <v>768.4</v>
      </c>
      <c r="H365" s="408"/>
      <c r="I365" s="408"/>
      <c r="J365" s="408"/>
      <c r="K365" s="409"/>
      <c r="L365" s="409"/>
      <c r="M365" s="408"/>
      <c r="N365" s="180">
        <f>SUM(F365+H365+J365+L365)</f>
        <v>768.4</v>
      </c>
      <c r="O365" s="181">
        <f>SUM(G365+I365+K365+M365)</f>
        <v>768.4</v>
      </c>
    </row>
    <row r="366" spans="1:15" s="1" customFormat="1" ht="19.5" customHeight="1" x14ac:dyDescent="0.25">
      <c r="A366" s="652"/>
      <c r="B366" s="574" t="s">
        <v>59</v>
      </c>
      <c r="C366" s="251"/>
      <c r="D366" s="593"/>
      <c r="E366" s="593"/>
      <c r="F366" s="408"/>
      <c r="G366" s="408"/>
      <c r="H366" s="408"/>
      <c r="I366" s="408"/>
      <c r="J366" s="408"/>
      <c r="K366" s="409"/>
      <c r="L366" s="409"/>
      <c r="M366" s="408"/>
      <c r="N366" s="182"/>
      <c r="O366" s="183"/>
    </row>
    <row r="367" spans="1:15" s="1" customFormat="1" ht="23.25" customHeight="1" x14ac:dyDescent="0.25">
      <c r="A367" s="652"/>
      <c r="B367" s="574" t="s">
        <v>60</v>
      </c>
      <c r="C367" s="302"/>
      <c r="D367" s="593">
        <v>768.4</v>
      </c>
      <c r="E367" s="593">
        <v>768.4</v>
      </c>
      <c r="F367" s="411">
        <v>768.4</v>
      </c>
      <c r="G367" s="411">
        <v>768.4</v>
      </c>
      <c r="H367" s="408"/>
      <c r="I367" s="408"/>
      <c r="J367" s="408"/>
      <c r="K367" s="409"/>
      <c r="L367" s="409"/>
      <c r="M367" s="408"/>
      <c r="N367" s="180">
        <f>SUM(F367+H367+J367+L367)</f>
        <v>768.4</v>
      </c>
      <c r="O367" s="181">
        <f>SUM(G367+I367+K367+M367)</f>
        <v>768.4</v>
      </c>
    </row>
    <row r="368" spans="1:15" s="1" customFormat="1" ht="39.75" customHeight="1" x14ac:dyDescent="0.25">
      <c r="A368" s="652"/>
      <c r="B368" s="405" t="s">
        <v>61</v>
      </c>
      <c r="C368" s="302"/>
      <c r="D368" s="411"/>
      <c r="E368" s="411"/>
      <c r="F368" s="408"/>
      <c r="G368" s="408"/>
      <c r="H368" s="408"/>
      <c r="I368" s="408"/>
      <c r="J368" s="408"/>
      <c r="K368" s="409"/>
      <c r="L368" s="409"/>
      <c r="M368" s="408"/>
      <c r="N368" s="184"/>
      <c r="O368" s="16"/>
    </row>
    <row r="369" spans="1:15" ht="26.25" customHeight="1" x14ac:dyDescent="0.25">
      <c r="A369" s="652"/>
      <c r="B369" s="406" t="s">
        <v>148</v>
      </c>
      <c r="C369" s="302"/>
      <c r="D369" s="410">
        <v>37.799999999999997</v>
      </c>
      <c r="E369" s="410">
        <v>37.799999999999997</v>
      </c>
      <c r="F369" s="408"/>
      <c r="G369" s="408"/>
      <c r="H369" s="410">
        <v>37.799999999999997</v>
      </c>
      <c r="I369" s="408">
        <v>5.8</v>
      </c>
      <c r="J369" s="408"/>
      <c r="K369" s="409"/>
      <c r="L369" s="409"/>
      <c r="M369" s="408"/>
      <c r="N369" s="180">
        <f>SUM(F369+H369+J369+L369)</f>
        <v>37.799999999999997</v>
      </c>
      <c r="O369" s="181">
        <f>SUM(G369+I369+K369+M369)</f>
        <v>5.8</v>
      </c>
    </row>
    <row r="370" spans="1:15" ht="26.25" customHeight="1" x14ac:dyDescent="0.25">
      <c r="A370" s="652"/>
      <c r="B370" s="406" t="s">
        <v>59</v>
      </c>
      <c r="C370" s="251"/>
      <c r="D370" s="410"/>
      <c r="E370" s="410"/>
      <c r="F370" s="408"/>
      <c r="G370" s="408"/>
      <c r="H370" s="408"/>
      <c r="I370" s="408"/>
      <c r="J370" s="408"/>
      <c r="K370" s="409"/>
      <c r="L370" s="409"/>
      <c r="M370" s="408"/>
      <c r="N370" s="180"/>
      <c r="O370" s="181"/>
    </row>
    <row r="371" spans="1:15" ht="24" customHeight="1" x14ac:dyDescent="0.25">
      <c r="A371" s="652"/>
      <c r="B371" s="405" t="s">
        <v>60</v>
      </c>
      <c r="C371" s="302"/>
      <c r="D371" s="410">
        <v>37.799999999999997</v>
      </c>
      <c r="E371" s="410">
        <v>37.799999999999997</v>
      </c>
      <c r="F371" s="408"/>
      <c r="G371" s="408"/>
      <c r="H371" s="410">
        <v>37.799999999999997</v>
      </c>
      <c r="I371" s="408">
        <v>5.8</v>
      </c>
      <c r="J371" s="408"/>
      <c r="K371" s="409"/>
      <c r="L371" s="409"/>
      <c r="M371" s="408"/>
      <c r="N371" s="180">
        <f>SUM(F371+H371+J371+L371)</f>
        <v>37.799999999999997</v>
      </c>
      <c r="O371" s="181">
        <f>SUM(G371+I371+K371+M371)</f>
        <v>5.8</v>
      </c>
    </row>
    <row r="372" spans="1:15" ht="33.75" customHeight="1" x14ac:dyDescent="0.25">
      <c r="A372" s="652"/>
      <c r="B372" s="405" t="s">
        <v>61</v>
      </c>
      <c r="C372" s="302"/>
      <c r="D372" s="410"/>
      <c r="E372" s="410"/>
      <c r="F372" s="408"/>
      <c r="G372" s="408"/>
      <c r="H372" s="408"/>
      <c r="I372" s="408"/>
      <c r="J372" s="408"/>
      <c r="K372" s="409"/>
      <c r="L372" s="409"/>
      <c r="M372" s="408"/>
      <c r="N372" s="184"/>
      <c r="O372" s="16"/>
    </row>
    <row r="373" spans="1:15" ht="45" customHeight="1" x14ac:dyDescent="0.25">
      <c r="A373" s="652"/>
      <c r="B373" s="405" t="s">
        <v>149</v>
      </c>
      <c r="C373" s="303"/>
      <c r="D373" s="410">
        <v>2008.2</v>
      </c>
      <c r="E373" s="410">
        <v>2008.2</v>
      </c>
      <c r="F373" s="408">
        <v>457.8</v>
      </c>
      <c r="G373" s="408">
        <v>457.8</v>
      </c>
      <c r="H373" s="412">
        <v>1216.4000000000001</v>
      </c>
      <c r="I373" s="408">
        <v>1216.4000000000001</v>
      </c>
      <c r="J373" s="413">
        <v>334</v>
      </c>
      <c r="K373" s="409">
        <v>292.2</v>
      </c>
      <c r="L373" s="410"/>
      <c r="M373" s="408"/>
      <c r="N373" s="180">
        <f>SUM(F373+H373+J373+L373)</f>
        <v>2008.2</v>
      </c>
      <c r="O373" s="181">
        <f>SUM(G373+I373+K373+M373)</f>
        <v>1966.4</v>
      </c>
    </row>
    <row r="374" spans="1:15" ht="20.25" customHeight="1" x14ac:dyDescent="0.25">
      <c r="A374" s="652"/>
      <c r="B374" s="406" t="s">
        <v>59</v>
      </c>
      <c r="C374" s="304"/>
      <c r="D374" s="410"/>
      <c r="E374" s="410"/>
      <c r="F374" s="408"/>
      <c r="G374" s="408"/>
      <c r="H374" s="408"/>
      <c r="I374" s="408"/>
      <c r="J374" s="408"/>
      <c r="K374" s="409"/>
      <c r="L374" s="409"/>
      <c r="M374" s="408"/>
      <c r="N374" s="184"/>
      <c r="O374" s="16"/>
    </row>
    <row r="375" spans="1:15" ht="23.25" customHeight="1" x14ac:dyDescent="0.25">
      <c r="A375" s="652"/>
      <c r="B375" s="405" t="s">
        <v>60</v>
      </c>
      <c r="C375" s="303"/>
      <c r="D375" s="410">
        <v>2008.2</v>
      </c>
      <c r="E375" s="410">
        <v>2008.2</v>
      </c>
      <c r="F375" s="408">
        <v>457.8</v>
      </c>
      <c r="G375" s="408">
        <v>457.8</v>
      </c>
      <c r="H375" s="412">
        <v>1216.4000000000001</v>
      </c>
      <c r="I375" s="408">
        <v>1216.4000000000001</v>
      </c>
      <c r="J375" s="413">
        <v>334</v>
      </c>
      <c r="K375" s="409">
        <v>292.2</v>
      </c>
      <c r="L375" s="410"/>
      <c r="M375" s="408"/>
      <c r="N375" s="180">
        <f>SUM(F375+H375+J375+L375)</f>
        <v>2008.2</v>
      </c>
      <c r="O375" s="181">
        <f>SUM(G375+I375+K375+M375)</f>
        <v>1966.4</v>
      </c>
    </row>
    <row r="376" spans="1:15" ht="40.5" customHeight="1" x14ac:dyDescent="0.25">
      <c r="A376" s="652"/>
      <c r="B376" s="405" t="s">
        <v>61</v>
      </c>
      <c r="C376" s="303"/>
      <c r="D376" s="410"/>
      <c r="E376" s="410"/>
      <c r="F376" s="408"/>
      <c r="G376" s="408"/>
      <c r="H376" s="408"/>
      <c r="I376" s="408"/>
      <c r="J376" s="408"/>
      <c r="K376" s="409"/>
      <c r="L376" s="409"/>
      <c r="M376" s="408"/>
      <c r="N376" s="184"/>
      <c r="O376" s="16"/>
    </row>
    <row r="377" spans="1:15" ht="43.5" customHeight="1" x14ac:dyDescent="0.25">
      <c r="A377" s="652"/>
      <c r="B377" s="405" t="s">
        <v>65</v>
      </c>
      <c r="C377" s="302"/>
      <c r="D377" s="410">
        <v>169</v>
      </c>
      <c r="E377" s="410">
        <v>169</v>
      </c>
      <c r="F377" s="412"/>
      <c r="G377" s="412"/>
      <c r="H377" s="412">
        <v>100</v>
      </c>
      <c r="I377" s="408">
        <v>99</v>
      </c>
      <c r="J377" s="412">
        <v>69</v>
      </c>
      <c r="K377" s="409">
        <v>9.1999999999999993</v>
      </c>
      <c r="L377" s="409"/>
      <c r="M377" s="408"/>
      <c r="N377" s="180">
        <f t="shared" ref="N377:O379" si="104">SUM(F377+H377+J377+L377)</f>
        <v>169</v>
      </c>
      <c r="O377" s="181">
        <f t="shared" si="104"/>
        <v>108.2</v>
      </c>
    </row>
    <row r="378" spans="1:15" ht="38.25" customHeight="1" x14ac:dyDescent="0.25">
      <c r="A378" s="652"/>
      <c r="B378" s="405" t="s">
        <v>150</v>
      </c>
      <c r="C378" s="251"/>
      <c r="D378" s="575">
        <v>169</v>
      </c>
      <c r="E378" s="575">
        <v>169</v>
      </c>
      <c r="F378" s="576"/>
      <c r="G378" s="576"/>
      <c r="H378" s="576">
        <v>100</v>
      </c>
      <c r="I378" s="573">
        <v>99</v>
      </c>
      <c r="J378" s="576">
        <v>69</v>
      </c>
      <c r="K378" s="409">
        <v>9.1999999999999993</v>
      </c>
      <c r="L378" s="409"/>
      <c r="M378" s="408"/>
      <c r="N378" s="180">
        <f t="shared" si="104"/>
        <v>169</v>
      </c>
      <c r="O378" s="181">
        <f t="shared" si="104"/>
        <v>108.2</v>
      </c>
    </row>
    <row r="379" spans="1:15" ht="34.5" customHeight="1" thickBot="1" x14ac:dyDescent="0.3">
      <c r="A379" s="652"/>
      <c r="B379" s="405" t="s">
        <v>61</v>
      </c>
      <c r="C379" s="302"/>
      <c r="D379" s="408"/>
      <c r="E379" s="408"/>
      <c r="F379" s="408"/>
      <c r="G379" s="408"/>
      <c r="H379" s="408"/>
      <c r="I379" s="408"/>
      <c r="J379" s="408"/>
      <c r="K379" s="409"/>
      <c r="L379" s="409"/>
      <c r="M379" s="408"/>
      <c r="N379" s="180">
        <f t="shared" si="104"/>
        <v>0</v>
      </c>
      <c r="O379" s="181">
        <f t="shared" si="104"/>
        <v>0</v>
      </c>
    </row>
    <row r="380" spans="1:15" ht="41.25" customHeight="1" x14ac:dyDescent="0.2">
      <c r="A380" s="6" t="s">
        <v>12</v>
      </c>
      <c r="B380" s="34"/>
      <c r="C380" s="314"/>
      <c r="D380" s="47">
        <f t="shared" ref="D380:O380" si="105">SUM(D361+D365+D369+D377+D373)</f>
        <v>3449.6</v>
      </c>
      <c r="E380" s="47">
        <f t="shared" si="105"/>
        <v>3449.6</v>
      </c>
      <c r="F380" s="47">
        <f t="shared" si="105"/>
        <v>1226.2</v>
      </c>
      <c r="G380" s="47">
        <f t="shared" si="105"/>
        <v>1226.2</v>
      </c>
      <c r="H380" s="47">
        <f t="shared" si="105"/>
        <v>1354.2</v>
      </c>
      <c r="I380" s="47">
        <f t="shared" si="105"/>
        <v>1321.2</v>
      </c>
      <c r="J380" s="47">
        <f t="shared" si="105"/>
        <v>403</v>
      </c>
      <c r="K380" s="47">
        <f t="shared" si="105"/>
        <v>301.39999999999998</v>
      </c>
      <c r="L380" s="47">
        <f t="shared" si="105"/>
        <v>466.2</v>
      </c>
      <c r="M380" s="47">
        <f t="shared" si="105"/>
        <v>0</v>
      </c>
      <c r="N380" s="47">
        <f t="shared" si="105"/>
        <v>3449.6</v>
      </c>
      <c r="O380" s="47">
        <f t="shared" si="105"/>
        <v>2848.8</v>
      </c>
    </row>
    <row r="381" spans="1:15" ht="31.5" customHeight="1" x14ac:dyDescent="0.2">
      <c r="A381" s="653"/>
      <c r="B381" s="22" t="s">
        <v>59</v>
      </c>
      <c r="C381" s="22"/>
      <c r="D381" s="43"/>
      <c r="E381" s="43"/>
      <c r="F381" s="44"/>
      <c r="G381" s="44"/>
      <c r="H381" s="43"/>
      <c r="I381" s="43"/>
      <c r="J381" s="43"/>
      <c r="K381" s="45"/>
      <c r="L381" s="46"/>
      <c r="M381" s="43"/>
      <c r="N381" s="146"/>
      <c r="O381" s="12"/>
    </row>
    <row r="382" spans="1:15" ht="34.5" customHeight="1" x14ac:dyDescent="0.2">
      <c r="A382" s="612"/>
      <c r="B382" s="22" t="s">
        <v>60</v>
      </c>
      <c r="C382" s="22"/>
      <c r="D382" s="47">
        <f t="shared" ref="D382:N382" si="106">SUM(D378+D371+D367+D363+D373)</f>
        <v>3449.6000000000004</v>
      </c>
      <c r="E382" s="47">
        <f t="shared" si="106"/>
        <v>3449.6000000000004</v>
      </c>
      <c r="F382" s="47">
        <f t="shared" si="106"/>
        <v>1226.2</v>
      </c>
      <c r="G382" s="47">
        <f t="shared" si="106"/>
        <v>1226.2</v>
      </c>
      <c r="H382" s="47">
        <f t="shared" si="106"/>
        <v>1354.2</v>
      </c>
      <c r="I382" s="47">
        <f t="shared" si="106"/>
        <v>1321.2</v>
      </c>
      <c r="J382" s="47">
        <f t="shared" si="106"/>
        <v>403</v>
      </c>
      <c r="K382" s="47">
        <f t="shared" si="106"/>
        <v>301.39999999999998</v>
      </c>
      <c r="L382" s="47">
        <f t="shared" si="106"/>
        <v>466.2</v>
      </c>
      <c r="M382" s="47">
        <f t="shared" si="106"/>
        <v>0</v>
      </c>
      <c r="N382" s="47">
        <f t="shared" si="106"/>
        <v>3449.6000000000004</v>
      </c>
      <c r="O382" s="47">
        <f>SUM(O371+O367+O363+O373+O378)</f>
        <v>2848.7999999999997</v>
      </c>
    </row>
    <row r="383" spans="1:15" ht="36.75" customHeight="1" thickBot="1" x14ac:dyDescent="0.25">
      <c r="A383" s="613"/>
      <c r="B383" s="35" t="s">
        <v>61</v>
      </c>
      <c r="C383" s="80"/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/>
      <c r="J383" s="7">
        <v>0</v>
      </c>
      <c r="K383" s="7">
        <v>0</v>
      </c>
      <c r="L383" s="7">
        <v>0</v>
      </c>
      <c r="M383" s="7"/>
      <c r="N383" s="7"/>
      <c r="O383" s="136"/>
    </row>
    <row r="384" spans="1:15" s="346" customFormat="1" ht="54.75" customHeight="1" x14ac:dyDescent="0.2">
      <c r="A384" s="713" t="s">
        <v>67</v>
      </c>
      <c r="B384" s="441" t="s">
        <v>64</v>
      </c>
      <c r="C384" s="710"/>
      <c r="D384" s="450">
        <v>3176.2</v>
      </c>
      <c r="E384" s="450">
        <v>3176.2</v>
      </c>
      <c r="F384" s="451">
        <v>794.05</v>
      </c>
      <c r="G384" s="451">
        <v>570.4</v>
      </c>
      <c r="H384" s="451">
        <v>794.05</v>
      </c>
      <c r="I384" s="451">
        <v>627.79999999999995</v>
      </c>
      <c r="J384" s="451">
        <v>794.05</v>
      </c>
      <c r="K384" s="452">
        <v>771.2</v>
      </c>
      <c r="L384" s="452">
        <v>794.05</v>
      </c>
      <c r="M384" s="451">
        <v>0</v>
      </c>
      <c r="N384" s="362">
        <f>SUM(F384+H384+J384+L384)</f>
        <v>3176.2</v>
      </c>
      <c r="O384" s="377">
        <f>SUM(G384+I384+K384+M384)</f>
        <v>1969.3999999999999</v>
      </c>
    </row>
    <row r="385" spans="1:15" s="346" customFormat="1" ht="22.5" customHeight="1" x14ac:dyDescent="0.2">
      <c r="A385" s="602"/>
      <c r="B385" s="442" t="s">
        <v>59</v>
      </c>
      <c r="C385" s="711"/>
      <c r="D385" s="252"/>
      <c r="E385" s="252"/>
      <c r="F385" s="252"/>
      <c r="G385" s="252"/>
      <c r="H385" s="252" t="s">
        <v>164</v>
      </c>
      <c r="I385" s="252"/>
      <c r="J385" s="252"/>
      <c r="K385" s="453"/>
      <c r="L385" s="453"/>
      <c r="M385" s="252"/>
      <c r="N385" s="363"/>
      <c r="O385" s="147"/>
    </row>
    <row r="386" spans="1:15" s="346" customFormat="1" ht="23.25" customHeight="1" x14ac:dyDescent="0.2">
      <c r="A386" s="602"/>
      <c r="B386" s="442" t="s">
        <v>60</v>
      </c>
      <c r="C386" s="711"/>
      <c r="D386" s="450">
        <v>3176.2</v>
      </c>
      <c r="E386" s="450">
        <v>3176.2</v>
      </c>
      <c r="F386" s="451">
        <v>794.05</v>
      </c>
      <c r="G386" s="451">
        <v>570.4</v>
      </c>
      <c r="H386" s="451">
        <v>794.05</v>
      </c>
      <c r="I386" s="451">
        <v>627.79999999999995</v>
      </c>
      <c r="J386" s="451">
        <v>794.05</v>
      </c>
      <c r="K386" s="452">
        <v>771.2</v>
      </c>
      <c r="L386" s="452">
        <v>794.05</v>
      </c>
      <c r="M386" s="451">
        <v>0</v>
      </c>
      <c r="N386" s="362">
        <f>SUM(F386+H386+J386+L386)</f>
        <v>3176.2</v>
      </c>
      <c r="O386" s="377">
        <f>SUM(G386+I386+K386+M386)</f>
        <v>1969.3999999999999</v>
      </c>
    </row>
    <row r="387" spans="1:15" s="346" customFormat="1" ht="36.75" customHeight="1" x14ac:dyDescent="0.2">
      <c r="A387" s="602"/>
      <c r="B387" s="443" t="s">
        <v>61</v>
      </c>
      <c r="C387" s="711"/>
      <c r="D387" s="252"/>
      <c r="E387" s="252"/>
      <c r="F387" s="252"/>
      <c r="G387" s="252"/>
      <c r="H387" s="252"/>
      <c r="I387" s="252"/>
      <c r="J387" s="252"/>
      <c r="K387" s="453"/>
      <c r="L387" s="453"/>
      <c r="M387" s="252"/>
      <c r="N387" s="363"/>
      <c r="O387" s="147"/>
    </row>
    <row r="388" spans="1:15" s="346" customFormat="1" ht="69.75" customHeight="1" x14ac:dyDescent="0.2">
      <c r="A388" s="602"/>
      <c r="B388" s="443" t="s">
        <v>163</v>
      </c>
      <c r="C388" s="711"/>
      <c r="D388" s="252">
        <v>8246.2000000000007</v>
      </c>
      <c r="E388" s="252">
        <v>8246.2000000000007</v>
      </c>
      <c r="F388" s="252">
        <v>2097.6</v>
      </c>
      <c r="G388" s="252">
        <v>1829.7</v>
      </c>
      <c r="H388" s="252">
        <v>2097.6</v>
      </c>
      <c r="I388" s="252">
        <v>2295.3000000000002</v>
      </c>
      <c r="J388" s="252">
        <v>2097.6</v>
      </c>
      <c r="K388" s="252">
        <v>2178.9</v>
      </c>
      <c r="L388" s="252">
        <v>1953.4</v>
      </c>
      <c r="M388" s="252">
        <v>0</v>
      </c>
      <c r="N388" s="362">
        <f>SUM(F388+H388+J388+L388)</f>
        <v>8246.1999999999989</v>
      </c>
      <c r="O388" s="377">
        <f>SUM(G388+I388+K388+M388)</f>
        <v>6303.9</v>
      </c>
    </row>
    <row r="389" spans="1:15" s="346" customFormat="1" ht="22.5" customHeight="1" x14ac:dyDescent="0.2">
      <c r="A389" s="602"/>
      <c r="B389" s="442" t="s">
        <v>59</v>
      </c>
      <c r="C389" s="711"/>
      <c r="D389" s="252"/>
      <c r="E389" s="252"/>
      <c r="F389" s="252"/>
      <c r="G389" s="252"/>
      <c r="H389" s="252"/>
      <c r="I389" s="252"/>
      <c r="J389" s="252"/>
      <c r="K389" s="453"/>
      <c r="L389" s="453"/>
      <c r="M389" s="252"/>
      <c r="N389" s="363"/>
      <c r="O389" s="147"/>
    </row>
    <row r="390" spans="1:15" s="346" customFormat="1" ht="20.25" customHeight="1" x14ac:dyDescent="0.2">
      <c r="A390" s="602"/>
      <c r="B390" s="442" t="s">
        <v>60</v>
      </c>
      <c r="C390" s="711"/>
      <c r="D390" s="252">
        <v>8246.2000000000007</v>
      </c>
      <c r="E390" s="252">
        <v>8246.2000000000007</v>
      </c>
      <c r="F390" s="252">
        <v>2097.6</v>
      </c>
      <c r="G390" s="252">
        <v>1829.7</v>
      </c>
      <c r="H390" s="252">
        <v>2097.6</v>
      </c>
      <c r="I390" s="252">
        <v>2295.3000000000002</v>
      </c>
      <c r="J390" s="252">
        <v>2097.6</v>
      </c>
      <c r="K390" s="252">
        <v>2178.9</v>
      </c>
      <c r="L390" s="252">
        <v>1953.4</v>
      </c>
      <c r="M390" s="252">
        <v>0</v>
      </c>
      <c r="N390" s="362">
        <f>SUM(F390+H390+J390+L390)</f>
        <v>8246.1999999999989</v>
      </c>
      <c r="O390" s="377">
        <f>SUM(G390+I390+K390+M390)</f>
        <v>6303.9</v>
      </c>
    </row>
    <row r="391" spans="1:15" s="346" customFormat="1" ht="36.75" customHeight="1" x14ac:dyDescent="0.2">
      <c r="A391" s="602"/>
      <c r="B391" s="444" t="s">
        <v>61</v>
      </c>
      <c r="C391" s="711"/>
      <c r="D391" s="454"/>
      <c r="E391" s="454"/>
      <c r="F391" s="454"/>
      <c r="G391" s="454"/>
      <c r="H391" s="454"/>
      <c r="I391" s="454"/>
      <c r="J391" s="454"/>
      <c r="K391" s="455"/>
      <c r="L391" s="455"/>
      <c r="M391" s="454"/>
      <c r="N391" s="363"/>
      <c r="O391" s="147"/>
    </row>
    <row r="392" spans="1:15" s="346" customFormat="1" ht="46.5" customHeight="1" x14ac:dyDescent="0.2">
      <c r="A392" s="602"/>
      <c r="B392" s="445" t="s">
        <v>156</v>
      </c>
      <c r="C392" s="711"/>
      <c r="D392" s="456">
        <v>200</v>
      </c>
      <c r="E392" s="456">
        <v>200</v>
      </c>
      <c r="F392" s="457">
        <v>50</v>
      </c>
      <c r="G392" s="252">
        <v>39.4</v>
      </c>
      <c r="H392" s="457">
        <v>50</v>
      </c>
      <c r="I392" s="252">
        <v>0</v>
      </c>
      <c r="J392" s="457">
        <v>50</v>
      </c>
      <c r="K392" s="252">
        <v>150</v>
      </c>
      <c r="L392" s="457">
        <v>50</v>
      </c>
      <c r="M392" s="252">
        <v>0</v>
      </c>
      <c r="N392" s="362">
        <f>SUM(F392+H392+J392+L392)</f>
        <v>200</v>
      </c>
      <c r="O392" s="377">
        <f>SUM(G392+I392+K392+M392)</f>
        <v>189.4</v>
      </c>
    </row>
    <row r="393" spans="1:15" s="346" customFormat="1" ht="20.25" customHeight="1" x14ac:dyDescent="0.2">
      <c r="A393" s="602"/>
      <c r="B393" s="442" t="s">
        <v>59</v>
      </c>
      <c r="C393" s="711"/>
      <c r="D393" s="252"/>
      <c r="E393" s="252"/>
      <c r="F393" s="252"/>
      <c r="G393" s="252"/>
      <c r="H393" s="252"/>
      <c r="I393" s="252"/>
      <c r="J393" s="252"/>
      <c r="K393" s="252"/>
      <c r="L393" s="252"/>
      <c r="M393" s="252"/>
      <c r="N393" s="363"/>
      <c r="O393" s="147"/>
    </row>
    <row r="394" spans="1:15" s="346" customFormat="1" ht="22.5" customHeight="1" x14ac:dyDescent="0.2">
      <c r="A394" s="602"/>
      <c r="B394" s="442" t="s">
        <v>60</v>
      </c>
      <c r="C394" s="711"/>
      <c r="D394" s="252">
        <v>200</v>
      </c>
      <c r="E394" s="456">
        <v>200</v>
      </c>
      <c r="F394" s="457">
        <v>50</v>
      </c>
      <c r="G394" s="252">
        <v>39.4</v>
      </c>
      <c r="H394" s="457">
        <v>50</v>
      </c>
      <c r="I394" s="252">
        <v>0</v>
      </c>
      <c r="J394" s="457">
        <v>50</v>
      </c>
      <c r="K394" s="252">
        <v>150</v>
      </c>
      <c r="L394" s="457">
        <v>50</v>
      </c>
      <c r="M394" s="252">
        <v>0</v>
      </c>
      <c r="N394" s="362">
        <f>SUM(F394+H394+J394+L394)</f>
        <v>200</v>
      </c>
      <c r="O394" s="377">
        <f>SUM(G394+I394+K394+M394)</f>
        <v>189.4</v>
      </c>
    </row>
    <row r="395" spans="1:15" s="346" customFormat="1" ht="36.75" customHeight="1" thickBot="1" x14ac:dyDescent="0.25">
      <c r="A395" s="602"/>
      <c r="B395" s="446" t="s">
        <v>61</v>
      </c>
      <c r="C395" s="711"/>
      <c r="D395" s="458"/>
      <c r="E395" s="458"/>
      <c r="F395" s="458"/>
      <c r="G395" s="458"/>
      <c r="H395" s="458"/>
      <c r="I395" s="252"/>
      <c r="J395" s="252"/>
      <c r="K395" s="252"/>
      <c r="L395" s="252"/>
      <c r="M395" s="252"/>
      <c r="N395" s="363"/>
      <c r="O395" s="147"/>
    </row>
    <row r="396" spans="1:15" s="346" customFormat="1" ht="54" customHeight="1" x14ac:dyDescent="0.2">
      <c r="A396" s="602"/>
      <c r="B396" s="447" t="s">
        <v>157</v>
      </c>
      <c r="C396" s="711"/>
      <c r="D396" s="459">
        <v>0</v>
      </c>
      <c r="E396" s="459">
        <v>0</v>
      </c>
      <c r="F396" s="459">
        <v>0</v>
      </c>
      <c r="G396" s="459">
        <v>0</v>
      </c>
      <c r="H396" s="459">
        <v>0</v>
      </c>
      <c r="I396" s="459">
        <v>0</v>
      </c>
      <c r="J396" s="459">
        <v>0</v>
      </c>
      <c r="K396" s="460">
        <v>0</v>
      </c>
      <c r="L396" s="459">
        <v>0</v>
      </c>
      <c r="M396" s="460">
        <v>0</v>
      </c>
      <c r="N396" s="362">
        <f>SUM(F396+H396+J396+L396)</f>
        <v>0</v>
      </c>
      <c r="O396" s="377">
        <f>SUM(G396+I396+K396+M396)</f>
        <v>0</v>
      </c>
    </row>
    <row r="397" spans="1:15" s="346" customFormat="1" ht="21" customHeight="1" x14ac:dyDescent="0.2">
      <c r="A397" s="602"/>
      <c r="B397" s="442" t="s">
        <v>59</v>
      </c>
      <c r="C397" s="711"/>
      <c r="D397" s="252"/>
      <c r="E397" s="252"/>
      <c r="F397" s="252"/>
      <c r="G397" s="252"/>
      <c r="H397" s="252"/>
      <c r="I397" s="252"/>
      <c r="J397" s="252"/>
      <c r="K397" s="252"/>
      <c r="L397" s="252"/>
      <c r="M397" s="252"/>
      <c r="N397" s="363"/>
      <c r="O397" s="147"/>
    </row>
    <row r="398" spans="1:15" s="346" customFormat="1" ht="21.75" customHeight="1" x14ac:dyDescent="0.2">
      <c r="A398" s="602"/>
      <c r="B398" s="448" t="s">
        <v>60</v>
      </c>
      <c r="C398" s="711"/>
      <c r="D398" s="252">
        <v>0</v>
      </c>
      <c r="E398" s="252">
        <v>0</v>
      </c>
      <c r="F398" s="252">
        <v>0</v>
      </c>
      <c r="G398" s="252">
        <v>0</v>
      </c>
      <c r="H398" s="252">
        <v>0</v>
      </c>
      <c r="I398" s="252">
        <v>0</v>
      </c>
      <c r="J398" s="252">
        <v>0</v>
      </c>
      <c r="K398" s="252">
        <v>0</v>
      </c>
      <c r="L398" s="252">
        <v>0</v>
      </c>
      <c r="M398" s="252">
        <v>0</v>
      </c>
      <c r="N398" s="362">
        <f>SUM(F398+H398+J398+L398)</f>
        <v>0</v>
      </c>
      <c r="O398" s="377">
        <f>SUM(G398+I398+K398+M398)</f>
        <v>0</v>
      </c>
    </row>
    <row r="399" spans="1:15" s="346" customFormat="1" ht="30" customHeight="1" x14ac:dyDescent="0.2">
      <c r="A399" s="602"/>
      <c r="B399" s="449" t="s">
        <v>61</v>
      </c>
      <c r="C399" s="711"/>
      <c r="D399" s="252"/>
      <c r="E399" s="252"/>
      <c r="F399" s="252"/>
      <c r="G399" s="252"/>
      <c r="H399" s="252"/>
      <c r="I399" s="252"/>
      <c r="J399" s="252"/>
      <c r="K399" s="252"/>
      <c r="L399" s="252"/>
      <c r="M399" s="252"/>
      <c r="N399" s="363"/>
      <c r="O399" s="147"/>
    </row>
    <row r="400" spans="1:15" ht="244.5" customHeight="1" x14ac:dyDescent="0.2">
      <c r="A400" s="602"/>
      <c r="B400" s="450" t="s">
        <v>158</v>
      </c>
      <c r="C400" s="711"/>
      <c r="D400" s="456">
        <v>410</v>
      </c>
      <c r="E400" s="252">
        <v>410</v>
      </c>
      <c r="F400" s="252">
        <v>102.5</v>
      </c>
      <c r="G400" s="252">
        <v>88.7</v>
      </c>
      <c r="H400" s="252">
        <v>102.5</v>
      </c>
      <c r="I400" s="252">
        <v>116.8</v>
      </c>
      <c r="J400" s="252">
        <v>102.5</v>
      </c>
      <c r="K400" s="252">
        <v>200</v>
      </c>
      <c r="L400" s="252">
        <v>102.5</v>
      </c>
      <c r="M400" s="252">
        <v>0</v>
      </c>
      <c r="N400" s="362">
        <f>SUM(F400+H400+J400+L400)</f>
        <v>410</v>
      </c>
      <c r="O400" s="377">
        <f>SUM(G400+I400+K400+M400)</f>
        <v>405.5</v>
      </c>
    </row>
    <row r="401" spans="1:15" s="1" customFormat="1" ht="19.5" customHeight="1" x14ac:dyDescent="0.2">
      <c r="A401" s="602"/>
      <c r="B401" s="450" t="s">
        <v>59</v>
      </c>
      <c r="C401" s="711"/>
      <c r="D401" s="252"/>
      <c r="E401" s="252"/>
      <c r="F401" s="252"/>
      <c r="G401" s="252"/>
      <c r="H401" s="252"/>
      <c r="I401" s="252"/>
      <c r="J401" s="252"/>
      <c r="K401" s="252"/>
      <c r="L401" s="252"/>
      <c r="M401" s="252"/>
      <c r="N401" s="364"/>
      <c r="O401" s="365"/>
    </row>
    <row r="402" spans="1:15" s="1" customFormat="1" ht="19.5" customHeight="1" x14ac:dyDescent="0.2">
      <c r="A402" s="602"/>
      <c r="B402" s="450" t="s">
        <v>60</v>
      </c>
      <c r="C402" s="711"/>
      <c r="D402" s="252">
        <v>410</v>
      </c>
      <c r="E402" s="252">
        <v>410</v>
      </c>
      <c r="F402" s="252">
        <v>102.5</v>
      </c>
      <c r="G402" s="252">
        <v>88.7</v>
      </c>
      <c r="H402" s="252">
        <v>102.5</v>
      </c>
      <c r="I402" s="252">
        <v>116.8</v>
      </c>
      <c r="J402" s="252">
        <v>102.5</v>
      </c>
      <c r="K402" s="252">
        <v>200</v>
      </c>
      <c r="L402" s="252">
        <v>102.5</v>
      </c>
      <c r="M402" s="252">
        <v>0</v>
      </c>
      <c r="N402" s="362">
        <f>SUM(F402+H402+J402+L402)</f>
        <v>410</v>
      </c>
      <c r="O402" s="365">
        <f>SUM(G402+I402+K402+M4454+M402)</f>
        <v>405.5</v>
      </c>
    </row>
    <row r="403" spans="1:15" s="1" customFormat="1" ht="38.25" customHeight="1" x14ac:dyDescent="0.2">
      <c r="A403" s="602"/>
      <c r="B403" s="450" t="s">
        <v>61</v>
      </c>
      <c r="C403" s="711"/>
      <c r="D403" s="252"/>
      <c r="E403" s="252"/>
      <c r="F403" s="252"/>
      <c r="G403" s="252"/>
      <c r="H403" s="252"/>
      <c r="I403" s="252"/>
      <c r="J403" s="252"/>
      <c r="K403" s="252"/>
      <c r="L403" s="252"/>
      <c r="M403" s="252"/>
      <c r="N403" s="364"/>
      <c r="O403" s="365"/>
    </row>
    <row r="404" spans="1:15" s="1" customFormat="1" ht="122.25" customHeight="1" x14ac:dyDescent="0.2">
      <c r="A404" s="602"/>
      <c r="B404" s="450" t="s">
        <v>159</v>
      </c>
      <c r="C404" s="711"/>
      <c r="D404" s="456">
        <v>200</v>
      </c>
      <c r="E404" s="252">
        <v>200</v>
      </c>
      <c r="F404" s="252">
        <v>50</v>
      </c>
      <c r="G404" s="252">
        <v>0</v>
      </c>
      <c r="H404" s="252">
        <v>50</v>
      </c>
      <c r="I404" s="252">
        <v>200</v>
      </c>
      <c r="J404" s="252">
        <v>50</v>
      </c>
      <c r="K404" s="252">
        <v>0</v>
      </c>
      <c r="L404" s="252">
        <v>50</v>
      </c>
      <c r="M404" s="252">
        <v>0</v>
      </c>
      <c r="N404" s="362">
        <f>SUM(F404+H404+J404+L404)</f>
        <v>200</v>
      </c>
      <c r="O404" s="365">
        <f>SUM(G404+I404+K404+M4460+M404)</f>
        <v>200</v>
      </c>
    </row>
    <row r="405" spans="1:15" s="1" customFormat="1" ht="21.75" customHeight="1" x14ac:dyDescent="0.2">
      <c r="A405" s="602"/>
      <c r="B405" s="450" t="s">
        <v>59</v>
      </c>
      <c r="C405" s="711"/>
      <c r="D405" s="252"/>
      <c r="E405" s="252"/>
      <c r="F405" s="252"/>
      <c r="G405" s="252"/>
      <c r="H405" s="252"/>
      <c r="I405" s="252"/>
      <c r="J405" s="252"/>
      <c r="K405" s="252"/>
      <c r="L405" s="252"/>
      <c r="M405" s="252"/>
      <c r="N405" s="364"/>
      <c r="O405" s="365"/>
    </row>
    <row r="406" spans="1:15" s="1" customFormat="1" ht="23.25" customHeight="1" x14ac:dyDescent="0.2">
      <c r="A406" s="602"/>
      <c r="B406" s="450" t="s">
        <v>60</v>
      </c>
      <c r="C406" s="711"/>
      <c r="D406" s="252">
        <v>200</v>
      </c>
      <c r="E406" s="252">
        <v>200</v>
      </c>
      <c r="F406" s="252">
        <v>50</v>
      </c>
      <c r="G406" s="252">
        <v>0</v>
      </c>
      <c r="H406" s="252">
        <v>50</v>
      </c>
      <c r="I406" s="252">
        <v>200</v>
      </c>
      <c r="J406" s="252">
        <v>50</v>
      </c>
      <c r="K406" s="252">
        <v>0</v>
      </c>
      <c r="L406" s="252">
        <v>50</v>
      </c>
      <c r="M406" s="252">
        <v>0</v>
      </c>
      <c r="N406" s="362">
        <f>SUM(F406+H406+J406+L406)</f>
        <v>200</v>
      </c>
      <c r="O406" s="365">
        <f>SUM(G406+I406+K406+M4462+M406)</f>
        <v>200</v>
      </c>
    </row>
    <row r="407" spans="1:15" s="1" customFormat="1" ht="33" customHeight="1" x14ac:dyDescent="0.2">
      <c r="A407" s="602"/>
      <c r="B407" s="450" t="s">
        <v>61</v>
      </c>
      <c r="C407" s="711"/>
      <c r="D407" s="252"/>
      <c r="E407" s="252"/>
      <c r="F407" s="252"/>
      <c r="G407" s="252"/>
      <c r="H407" s="252"/>
      <c r="I407" s="252"/>
      <c r="J407" s="252"/>
      <c r="K407" s="252"/>
      <c r="L407" s="252"/>
      <c r="M407" s="252"/>
      <c r="N407" s="364"/>
      <c r="O407" s="365"/>
    </row>
    <row r="408" spans="1:15" s="1" customFormat="1" ht="56.25" customHeight="1" x14ac:dyDescent="0.2">
      <c r="A408" s="602"/>
      <c r="B408" s="450" t="s">
        <v>160</v>
      </c>
      <c r="C408" s="711"/>
      <c r="D408" s="456">
        <v>100</v>
      </c>
      <c r="E408" s="252">
        <v>100</v>
      </c>
      <c r="F408" s="252">
        <v>25</v>
      </c>
      <c r="G408" s="252">
        <v>0</v>
      </c>
      <c r="H408" s="252">
        <v>25</v>
      </c>
      <c r="I408" s="252">
        <v>0</v>
      </c>
      <c r="J408" s="252">
        <v>25</v>
      </c>
      <c r="K408" s="252">
        <v>0</v>
      </c>
      <c r="L408" s="252">
        <v>25</v>
      </c>
      <c r="M408" s="252">
        <v>0</v>
      </c>
      <c r="N408" s="362">
        <f>SUM(F408+H408+J408+L408)</f>
        <v>100</v>
      </c>
      <c r="O408" s="365">
        <f>SUM(G408+I408+K408+M4464)</f>
        <v>0</v>
      </c>
    </row>
    <row r="409" spans="1:15" s="1" customFormat="1" ht="23.25" customHeight="1" x14ac:dyDescent="0.2">
      <c r="A409" s="602"/>
      <c r="B409" s="450" t="s">
        <v>59</v>
      </c>
      <c r="C409" s="711"/>
      <c r="D409" s="252"/>
      <c r="E409" s="252"/>
      <c r="F409" s="252"/>
      <c r="G409" s="252"/>
      <c r="H409" s="252"/>
      <c r="I409" s="252"/>
      <c r="J409" s="252"/>
      <c r="K409" s="252"/>
      <c r="L409" s="252"/>
      <c r="M409" s="252"/>
      <c r="N409" s="364"/>
      <c r="O409" s="365"/>
    </row>
    <row r="410" spans="1:15" s="1" customFormat="1" ht="22.5" customHeight="1" x14ac:dyDescent="0.2">
      <c r="A410" s="602"/>
      <c r="B410" s="450" t="s">
        <v>60</v>
      </c>
      <c r="C410" s="711"/>
      <c r="D410" s="252">
        <v>100</v>
      </c>
      <c r="E410" s="252">
        <v>100</v>
      </c>
      <c r="F410" s="252">
        <v>25</v>
      </c>
      <c r="G410" s="252">
        <v>0</v>
      </c>
      <c r="H410" s="252">
        <v>25</v>
      </c>
      <c r="I410" s="252">
        <v>0</v>
      </c>
      <c r="J410" s="252">
        <v>25</v>
      </c>
      <c r="K410" s="252">
        <v>0</v>
      </c>
      <c r="L410" s="252">
        <v>25</v>
      </c>
      <c r="M410" s="252">
        <v>0</v>
      </c>
      <c r="N410" s="362">
        <f>SUM(F410+H410+J410+L410)</f>
        <v>100</v>
      </c>
      <c r="O410" s="365">
        <f>SUM(G410+I410+K410+M4466)</f>
        <v>0</v>
      </c>
    </row>
    <row r="411" spans="1:15" s="1" customFormat="1" ht="35.25" customHeight="1" x14ac:dyDescent="0.2">
      <c r="A411" s="602"/>
      <c r="B411" s="450" t="s">
        <v>61</v>
      </c>
      <c r="C411" s="711"/>
      <c r="D411" s="252"/>
      <c r="E411" s="252"/>
      <c r="F411" s="252"/>
      <c r="G411" s="252"/>
      <c r="H411" s="252"/>
      <c r="I411" s="252"/>
      <c r="J411" s="252"/>
      <c r="K411" s="252"/>
      <c r="L411" s="252"/>
      <c r="M411" s="252"/>
      <c r="N411" s="362"/>
      <c r="O411" s="365"/>
    </row>
    <row r="412" spans="1:15" s="1" customFormat="1" ht="125.25" customHeight="1" x14ac:dyDescent="0.2">
      <c r="A412" s="602"/>
      <c r="B412" s="450" t="s">
        <v>161</v>
      </c>
      <c r="C412" s="711"/>
      <c r="D412" s="456">
        <v>100</v>
      </c>
      <c r="E412" s="252">
        <v>100</v>
      </c>
      <c r="F412" s="252">
        <v>25</v>
      </c>
      <c r="G412" s="252">
        <v>2.4</v>
      </c>
      <c r="H412" s="252">
        <v>25</v>
      </c>
      <c r="I412" s="252">
        <v>0</v>
      </c>
      <c r="J412" s="252">
        <v>25</v>
      </c>
      <c r="K412" s="252">
        <v>63.2</v>
      </c>
      <c r="L412" s="252">
        <v>25</v>
      </c>
      <c r="M412" s="252">
        <v>0</v>
      </c>
      <c r="N412" s="362">
        <f>SUM(F412+H412+J412+L412)</f>
        <v>100</v>
      </c>
      <c r="O412" s="377">
        <f>SUM(G412+I412+K412+M412)</f>
        <v>65.600000000000009</v>
      </c>
    </row>
    <row r="413" spans="1:15" s="1" customFormat="1" ht="22.5" customHeight="1" x14ac:dyDescent="0.2">
      <c r="A413" s="602"/>
      <c r="B413" s="450" t="s">
        <v>59</v>
      </c>
      <c r="C413" s="711"/>
      <c r="D413" s="252"/>
      <c r="E413" s="252"/>
      <c r="F413" s="252"/>
      <c r="G413" s="252"/>
      <c r="H413" s="252"/>
      <c r="I413" s="252"/>
      <c r="J413" s="252"/>
      <c r="K413" s="252"/>
      <c r="L413" s="252"/>
      <c r="M413" s="252"/>
      <c r="N413" s="362"/>
      <c r="O413" s="365"/>
    </row>
    <row r="414" spans="1:15" s="1" customFormat="1" ht="22.5" customHeight="1" x14ac:dyDescent="0.2">
      <c r="A414" s="602"/>
      <c r="B414" s="450" t="s">
        <v>60</v>
      </c>
      <c r="C414" s="711"/>
      <c r="D414" s="252">
        <v>100</v>
      </c>
      <c r="E414" s="252">
        <v>100</v>
      </c>
      <c r="F414" s="252">
        <v>25</v>
      </c>
      <c r="G414" s="252">
        <v>2.4</v>
      </c>
      <c r="H414" s="252">
        <v>25</v>
      </c>
      <c r="I414" s="252">
        <v>0</v>
      </c>
      <c r="J414" s="252">
        <v>25</v>
      </c>
      <c r="K414" s="252">
        <v>63.2</v>
      </c>
      <c r="L414" s="252">
        <v>25</v>
      </c>
      <c r="M414" s="252">
        <v>0</v>
      </c>
      <c r="N414" s="362">
        <f>SUM(F414+H414+J414+L414)</f>
        <v>100</v>
      </c>
      <c r="O414" s="377">
        <f>SUM(G414+I414+K414+M414)</f>
        <v>65.600000000000009</v>
      </c>
    </row>
    <row r="415" spans="1:15" s="1" customFormat="1" ht="35.25" customHeight="1" x14ac:dyDescent="0.2">
      <c r="A415" s="602"/>
      <c r="B415" s="450" t="s">
        <v>61</v>
      </c>
      <c r="C415" s="711"/>
      <c r="D415" s="252"/>
      <c r="E415" s="252"/>
      <c r="F415" s="252"/>
      <c r="G415" s="252"/>
      <c r="H415" s="252"/>
      <c r="I415" s="252"/>
      <c r="J415" s="252"/>
      <c r="K415" s="252"/>
      <c r="L415" s="252"/>
      <c r="M415" s="252"/>
      <c r="N415" s="362"/>
      <c r="O415" s="365"/>
    </row>
    <row r="416" spans="1:15" s="1" customFormat="1" ht="61.5" customHeight="1" x14ac:dyDescent="0.2">
      <c r="A416" s="602"/>
      <c r="B416" s="450" t="s">
        <v>162</v>
      </c>
      <c r="C416" s="711"/>
      <c r="D416" s="252">
        <v>90</v>
      </c>
      <c r="E416" s="252">
        <v>90</v>
      </c>
      <c r="F416" s="252">
        <v>22.5</v>
      </c>
      <c r="G416" s="252">
        <v>0</v>
      </c>
      <c r="H416" s="252">
        <v>22.5</v>
      </c>
      <c r="I416" s="252">
        <v>0</v>
      </c>
      <c r="J416" s="252">
        <v>22.5</v>
      </c>
      <c r="K416" s="252">
        <v>0</v>
      </c>
      <c r="L416" s="252">
        <v>22.5</v>
      </c>
      <c r="M416" s="252">
        <v>0</v>
      </c>
      <c r="N416" s="362">
        <f>SUM(F416+H416+J416+L416)</f>
        <v>90</v>
      </c>
      <c r="O416" s="377">
        <f>SUM(G416+I416+K416+M416)</f>
        <v>0</v>
      </c>
    </row>
    <row r="417" spans="1:15" s="1" customFormat="1" ht="22.5" customHeight="1" x14ac:dyDescent="0.2">
      <c r="A417" s="602"/>
      <c r="B417" s="450" t="s">
        <v>59</v>
      </c>
      <c r="C417" s="711"/>
      <c r="D417" s="252"/>
      <c r="E417" s="252"/>
      <c r="F417" s="252"/>
      <c r="G417" s="252"/>
      <c r="H417" s="252"/>
      <c r="I417" s="252"/>
      <c r="J417" s="252"/>
      <c r="K417" s="252"/>
      <c r="L417" s="252"/>
      <c r="M417" s="252"/>
      <c r="N417" s="362"/>
      <c r="O417" s="365"/>
    </row>
    <row r="418" spans="1:15" s="1" customFormat="1" ht="22.5" customHeight="1" x14ac:dyDescent="0.2">
      <c r="A418" s="602"/>
      <c r="B418" s="450" t="s">
        <v>60</v>
      </c>
      <c r="C418" s="711"/>
      <c r="D418" s="252">
        <v>90</v>
      </c>
      <c r="E418" s="252">
        <v>90</v>
      </c>
      <c r="F418" s="252">
        <v>22.5</v>
      </c>
      <c r="G418" s="252">
        <v>0</v>
      </c>
      <c r="H418" s="252">
        <v>22.5</v>
      </c>
      <c r="I418" s="252">
        <v>0</v>
      </c>
      <c r="J418" s="252">
        <v>22.5</v>
      </c>
      <c r="K418" s="252">
        <v>0</v>
      </c>
      <c r="L418" s="252">
        <v>22.5</v>
      </c>
      <c r="M418" s="252">
        <v>0</v>
      </c>
      <c r="N418" s="362">
        <f>SUM(F418+H418+J418+L418)</f>
        <v>90</v>
      </c>
      <c r="O418" s="377">
        <f>SUM(G418+I418+K418+M418)</f>
        <v>0</v>
      </c>
    </row>
    <row r="419" spans="1:15" s="1" customFormat="1" ht="32.25" customHeight="1" thickBot="1" x14ac:dyDescent="0.25">
      <c r="A419" s="603"/>
      <c r="B419" s="450" t="s">
        <v>61</v>
      </c>
      <c r="C419" s="712"/>
      <c r="D419" s="252"/>
      <c r="E419" s="252"/>
      <c r="F419" s="252"/>
      <c r="G419" s="252"/>
      <c r="H419" s="252"/>
      <c r="I419" s="252"/>
      <c r="J419" s="252"/>
      <c r="K419" s="252"/>
      <c r="L419" s="252"/>
      <c r="M419" s="252"/>
      <c r="N419" s="364"/>
      <c r="O419" s="365"/>
    </row>
    <row r="420" spans="1:15" s="1" customFormat="1" ht="32.25" customHeight="1" x14ac:dyDescent="0.25">
      <c r="A420" s="6" t="s">
        <v>12</v>
      </c>
      <c r="B420" s="34"/>
      <c r="C420" s="314"/>
      <c r="D420" s="113">
        <f t="shared" ref="D420:O422" si="107">SUM(D404+D400+D408+D396+D392+D388+D384+D416+D412)</f>
        <v>12522.400000000001</v>
      </c>
      <c r="E420" s="113">
        <f t="shared" si="107"/>
        <v>12522.400000000001</v>
      </c>
      <c r="F420" s="113">
        <f t="shared" si="107"/>
        <v>3166.6499999999996</v>
      </c>
      <c r="G420" s="113">
        <f t="shared" si="107"/>
        <v>2530.6</v>
      </c>
      <c r="H420" s="113">
        <f t="shared" si="107"/>
        <v>3166.6499999999996</v>
      </c>
      <c r="I420" s="113">
        <f t="shared" si="107"/>
        <v>3239.9000000000005</v>
      </c>
      <c r="J420" s="113">
        <f t="shared" si="107"/>
        <v>3166.6499999999996</v>
      </c>
      <c r="K420" s="113">
        <f t="shared" si="107"/>
        <v>3363.3</v>
      </c>
      <c r="L420" s="113">
        <f t="shared" si="107"/>
        <v>3022.45</v>
      </c>
      <c r="M420" s="113">
        <f t="shared" si="107"/>
        <v>0</v>
      </c>
      <c r="N420" s="113">
        <f t="shared" si="107"/>
        <v>12522.399999999998</v>
      </c>
      <c r="O420" s="113">
        <f t="shared" si="107"/>
        <v>9133.7999999999993</v>
      </c>
    </row>
    <row r="421" spans="1:15" s="1" customFormat="1" ht="32.25" customHeight="1" x14ac:dyDescent="0.25">
      <c r="A421" s="611"/>
      <c r="B421" s="22" t="s">
        <v>59</v>
      </c>
      <c r="C421" s="22"/>
      <c r="D421" s="83"/>
      <c r="E421" s="82"/>
      <c r="F421" s="82"/>
      <c r="G421" s="82"/>
      <c r="H421" s="82"/>
      <c r="I421" s="82"/>
      <c r="J421" s="82"/>
      <c r="K421" s="82"/>
      <c r="L421" s="82"/>
      <c r="M421" s="82"/>
      <c r="N421" s="237"/>
      <c r="O421" s="12"/>
    </row>
    <row r="422" spans="1:15" ht="38.25" customHeight="1" x14ac:dyDescent="0.25">
      <c r="A422" s="612"/>
      <c r="B422" s="22" t="s">
        <v>60</v>
      </c>
      <c r="C422" s="22"/>
      <c r="D422" s="113">
        <f t="shared" si="107"/>
        <v>12522.400000000001</v>
      </c>
      <c r="E422" s="113">
        <f t="shared" si="107"/>
        <v>12522.400000000001</v>
      </c>
      <c r="F422" s="113">
        <f t="shared" si="107"/>
        <v>3166.6499999999996</v>
      </c>
      <c r="G422" s="113">
        <f t="shared" si="107"/>
        <v>2530.6</v>
      </c>
      <c r="H422" s="113">
        <f t="shared" si="107"/>
        <v>3166.6499999999996</v>
      </c>
      <c r="I422" s="113">
        <f t="shared" si="107"/>
        <v>3239.9000000000005</v>
      </c>
      <c r="J422" s="113">
        <f t="shared" si="107"/>
        <v>3166.6499999999996</v>
      </c>
      <c r="K422" s="113">
        <f t="shared" ref="K422:M422" si="108">SUM(K406+K402+K410+K394+K390+K386+K398)</f>
        <v>3300.1000000000004</v>
      </c>
      <c r="L422" s="113">
        <f t="shared" si="107"/>
        <v>3022.45</v>
      </c>
      <c r="M422" s="113">
        <f t="shared" si="108"/>
        <v>0</v>
      </c>
      <c r="N422" s="113">
        <f t="shared" si="107"/>
        <v>12522.399999999998</v>
      </c>
      <c r="O422" s="113">
        <f t="shared" si="107"/>
        <v>9133.7999999999993</v>
      </c>
    </row>
    <row r="423" spans="1:15" ht="33" customHeight="1" thickBot="1" x14ac:dyDescent="0.25">
      <c r="A423" s="635"/>
      <c r="B423" s="80" t="s">
        <v>61</v>
      </c>
      <c r="C423" s="80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128"/>
      <c r="O423" s="136"/>
    </row>
    <row r="424" spans="1:15" ht="34.5" customHeight="1" x14ac:dyDescent="0.2">
      <c r="A424" s="38" t="s">
        <v>2</v>
      </c>
      <c r="B424" s="41"/>
      <c r="C424" s="305"/>
      <c r="D424" s="84">
        <f t="shared" ref="D424:O424" si="109">SUM(D420+D380+D357)</f>
        <v>78135.5</v>
      </c>
      <c r="E424" s="84">
        <f t="shared" si="109"/>
        <v>78135.5</v>
      </c>
      <c r="F424" s="84">
        <f t="shared" si="109"/>
        <v>18433.649999999998</v>
      </c>
      <c r="G424" s="84">
        <f t="shared" si="109"/>
        <v>17788.2</v>
      </c>
      <c r="H424" s="84">
        <f t="shared" si="109"/>
        <v>20561.75</v>
      </c>
      <c r="I424" s="84">
        <f t="shared" si="109"/>
        <v>19711.5</v>
      </c>
      <c r="J424" s="84">
        <f t="shared" si="109"/>
        <v>19610.550000000003</v>
      </c>
      <c r="K424" s="84">
        <f t="shared" si="109"/>
        <v>19096.599999999999</v>
      </c>
      <c r="L424" s="84">
        <f t="shared" si="109"/>
        <v>19529.550000000003</v>
      </c>
      <c r="M424" s="84">
        <f t="shared" si="109"/>
        <v>0</v>
      </c>
      <c r="N424" s="84">
        <f t="shared" si="109"/>
        <v>78135.5</v>
      </c>
      <c r="O424" s="29">
        <f t="shared" si="109"/>
        <v>56596.299999999996</v>
      </c>
    </row>
    <row r="425" spans="1:15" s="1" customFormat="1" ht="32.25" customHeight="1" x14ac:dyDescent="0.2">
      <c r="A425" s="30"/>
      <c r="B425" s="41" t="s">
        <v>59</v>
      </c>
      <c r="C425" s="4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65"/>
    </row>
    <row r="426" spans="1:15" s="1" customFormat="1" ht="37.5" customHeight="1" x14ac:dyDescent="0.2">
      <c r="A426" s="55"/>
      <c r="B426" s="41" t="s">
        <v>60</v>
      </c>
      <c r="C426" s="305"/>
      <c r="D426" s="29">
        <f t="shared" ref="D426:M426" si="110">SUM(D422+D382+D359)</f>
        <v>78123.100000000006</v>
      </c>
      <c r="E426" s="29">
        <f t="shared" si="110"/>
        <v>78123.100000000006</v>
      </c>
      <c r="F426" s="29">
        <f t="shared" si="110"/>
        <v>18421.25</v>
      </c>
      <c r="G426" s="29">
        <f t="shared" si="110"/>
        <v>17785.2</v>
      </c>
      <c r="H426" s="29">
        <f t="shared" si="110"/>
        <v>20561.75</v>
      </c>
      <c r="I426" s="29">
        <f t="shared" si="110"/>
        <v>19707.5</v>
      </c>
      <c r="J426" s="29">
        <f t="shared" si="110"/>
        <v>19610.550000000003</v>
      </c>
      <c r="K426" s="29">
        <f t="shared" si="110"/>
        <v>19028</v>
      </c>
      <c r="L426" s="29">
        <f t="shared" si="110"/>
        <v>19529.550000000003</v>
      </c>
      <c r="M426" s="29">
        <f t="shared" si="110"/>
        <v>0</v>
      </c>
      <c r="N426" s="29">
        <f>SUM(F426+H426+J426+L426)</f>
        <v>78123.100000000006</v>
      </c>
      <c r="O426" s="29">
        <f>SUM(G426+I426+K426+M426)</f>
        <v>56520.7</v>
      </c>
    </row>
    <row r="427" spans="1:15" s="1" customFormat="1" ht="37.5" customHeight="1" x14ac:dyDescent="0.2">
      <c r="A427" s="30"/>
      <c r="B427" s="53" t="s">
        <v>62</v>
      </c>
      <c r="C427" s="53"/>
      <c r="D427" s="33">
        <f t="shared" ref="D427:L427" si="111">SUM(D360)</f>
        <v>12.4</v>
      </c>
      <c r="E427" s="33">
        <f t="shared" si="111"/>
        <v>12.4</v>
      </c>
      <c r="F427" s="33">
        <f t="shared" si="111"/>
        <v>12.4</v>
      </c>
      <c r="G427" s="33">
        <f t="shared" si="111"/>
        <v>3</v>
      </c>
      <c r="H427" s="33">
        <f t="shared" si="111"/>
        <v>0</v>
      </c>
      <c r="I427" s="33">
        <f t="shared" si="111"/>
        <v>4</v>
      </c>
      <c r="J427" s="33">
        <f t="shared" si="111"/>
        <v>0</v>
      </c>
      <c r="K427" s="33">
        <f t="shared" si="111"/>
        <v>5.4</v>
      </c>
      <c r="L427" s="33">
        <f t="shared" si="111"/>
        <v>0</v>
      </c>
      <c r="M427" s="33">
        <f>SUM(M423+M383+M360)</f>
        <v>0</v>
      </c>
      <c r="N427" s="33">
        <f>SUM(N360)</f>
        <v>12.4</v>
      </c>
      <c r="O427" s="33">
        <f>SUM(O360)</f>
        <v>12.4</v>
      </c>
    </row>
    <row r="428" spans="1:15" s="1" customFormat="1" ht="37.5" customHeight="1" x14ac:dyDescent="0.25">
      <c r="A428" s="696" t="s">
        <v>42</v>
      </c>
      <c r="B428" s="697"/>
      <c r="C428" s="697"/>
      <c r="D428" s="697"/>
      <c r="E428" s="697"/>
      <c r="F428" s="697"/>
      <c r="G428" s="697"/>
      <c r="H428" s="697"/>
      <c r="I428" s="697"/>
      <c r="J428" s="697"/>
      <c r="K428" s="697"/>
      <c r="L428" s="697"/>
      <c r="M428" s="697"/>
      <c r="N428" s="697"/>
      <c r="O428" s="698"/>
    </row>
    <row r="429" spans="1:15" s="1" customFormat="1" ht="125.25" customHeight="1" x14ac:dyDescent="0.2">
      <c r="A429" s="705"/>
      <c r="B429" s="339" t="s">
        <v>127</v>
      </c>
      <c r="C429" s="679" t="s">
        <v>137</v>
      </c>
      <c r="D429" s="469">
        <v>403</v>
      </c>
      <c r="E429" s="469">
        <v>403</v>
      </c>
      <c r="F429" s="469">
        <v>0</v>
      </c>
      <c r="G429" s="469">
        <v>0</v>
      </c>
      <c r="H429" s="469">
        <v>0</v>
      </c>
      <c r="I429" s="469">
        <v>0</v>
      </c>
      <c r="J429" s="469">
        <v>403</v>
      </c>
      <c r="K429" s="469"/>
      <c r="L429" s="469">
        <v>0</v>
      </c>
      <c r="M429" s="469">
        <v>0</v>
      </c>
      <c r="N429" s="468">
        <f>SUM(F429+H429+J429+L429)</f>
        <v>403</v>
      </c>
      <c r="O429" s="468">
        <f>SUM(G429+I429+K429+M429)</f>
        <v>0</v>
      </c>
    </row>
    <row r="430" spans="1:15" s="1" customFormat="1" ht="24.75" customHeight="1" x14ac:dyDescent="0.2">
      <c r="A430" s="706"/>
      <c r="B430" s="467" t="s">
        <v>59</v>
      </c>
      <c r="C430" s="708"/>
      <c r="D430" s="469"/>
      <c r="E430" s="469"/>
      <c r="F430" s="469"/>
      <c r="G430" s="469"/>
      <c r="H430" s="469"/>
      <c r="I430" s="469"/>
      <c r="J430" s="469"/>
      <c r="K430" s="469"/>
      <c r="L430" s="469"/>
      <c r="M430" s="469"/>
      <c r="N430" s="469"/>
      <c r="O430" s="469"/>
    </row>
    <row r="431" spans="1:15" s="1" customFormat="1" ht="22.5" customHeight="1" x14ac:dyDescent="0.2">
      <c r="A431" s="706"/>
      <c r="B431" s="467" t="s">
        <v>60</v>
      </c>
      <c r="C431" s="708"/>
      <c r="D431" s="469">
        <v>403</v>
      </c>
      <c r="E431" s="469">
        <v>403</v>
      </c>
      <c r="F431" s="469">
        <v>0</v>
      </c>
      <c r="G431" s="469">
        <v>0</v>
      </c>
      <c r="H431" s="469">
        <v>0</v>
      </c>
      <c r="I431" s="469">
        <v>0</v>
      </c>
      <c r="J431" s="469">
        <v>403</v>
      </c>
      <c r="K431" s="469"/>
      <c r="L431" s="469">
        <v>0</v>
      </c>
      <c r="M431" s="469">
        <v>0</v>
      </c>
      <c r="N431" s="468">
        <f>SUM(F431+H431+J431+L431)</f>
        <v>403</v>
      </c>
      <c r="O431" s="468">
        <f>SUM(G431+I431+K431+M431)</f>
        <v>0</v>
      </c>
    </row>
    <row r="432" spans="1:15" s="1" customFormat="1" ht="37.5" customHeight="1" x14ac:dyDescent="0.2">
      <c r="A432" s="706"/>
      <c r="B432" s="466" t="s">
        <v>61</v>
      </c>
      <c r="C432" s="709"/>
      <c r="D432" s="469"/>
      <c r="E432" s="469"/>
      <c r="F432" s="469"/>
      <c r="G432" s="469"/>
      <c r="H432" s="469"/>
      <c r="I432" s="469"/>
      <c r="J432" s="469"/>
      <c r="K432" s="469"/>
      <c r="L432" s="469"/>
      <c r="M432" s="469"/>
      <c r="N432" s="468">
        <f>SUM(F432+H432+J432+L432)</f>
        <v>0</v>
      </c>
      <c r="O432" s="468">
        <f>SUM(G432+I432+K432+M432)</f>
        <v>0</v>
      </c>
    </row>
    <row r="433" spans="1:16" s="1" customFormat="1" ht="75" customHeight="1" x14ac:dyDescent="0.2">
      <c r="A433" s="706"/>
      <c r="B433" s="339" t="s">
        <v>128</v>
      </c>
      <c r="C433" s="339"/>
      <c r="D433" s="469"/>
      <c r="E433" s="469"/>
      <c r="F433" s="469"/>
      <c r="G433" s="469"/>
      <c r="H433" s="469"/>
      <c r="I433" s="469"/>
      <c r="J433" s="469"/>
      <c r="K433" s="469"/>
      <c r="L433" s="469"/>
      <c r="M433" s="469"/>
      <c r="N433" s="469"/>
      <c r="O433" s="469"/>
    </row>
    <row r="434" spans="1:16" s="1" customFormat="1" ht="22.5" customHeight="1" x14ac:dyDescent="0.2">
      <c r="A434" s="706"/>
      <c r="B434" s="467" t="s">
        <v>60</v>
      </c>
      <c r="C434" s="339"/>
      <c r="D434" s="468">
        <v>123</v>
      </c>
      <c r="E434" s="468">
        <v>123</v>
      </c>
      <c r="F434" s="468">
        <v>0</v>
      </c>
      <c r="G434" s="468">
        <v>0</v>
      </c>
      <c r="H434" s="468">
        <v>0</v>
      </c>
      <c r="I434" s="468">
        <v>0</v>
      </c>
      <c r="J434" s="468">
        <v>123</v>
      </c>
      <c r="K434" s="468">
        <v>0</v>
      </c>
      <c r="L434" s="468">
        <v>0</v>
      </c>
      <c r="M434" s="468">
        <v>0</v>
      </c>
      <c r="N434" s="468">
        <f>SUM(F434+H434+J434+L434)</f>
        <v>123</v>
      </c>
      <c r="O434" s="468">
        <f>SUM(G434+I434+K434+M434)</f>
        <v>0</v>
      </c>
    </row>
    <row r="435" spans="1:16" s="172" customFormat="1" ht="63.75" x14ac:dyDescent="0.2">
      <c r="A435" s="706"/>
      <c r="B435" s="470" t="s">
        <v>129</v>
      </c>
      <c r="C435" s="338"/>
      <c r="D435" s="468"/>
      <c r="E435" s="468"/>
      <c r="F435" s="468"/>
      <c r="G435" s="468"/>
      <c r="H435" s="468"/>
      <c r="I435" s="468"/>
      <c r="J435" s="468"/>
      <c r="K435" s="468"/>
      <c r="L435" s="468"/>
      <c r="M435" s="468"/>
      <c r="N435" s="468"/>
      <c r="O435" s="468"/>
      <c r="P435" s="175"/>
    </row>
    <row r="436" spans="1:16" s="172" customFormat="1" ht="22.5" customHeight="1" thickBot="1" x14ac:dyDescent="0.25">
      <c r="A436" s="707"/>
      <c r="B436" s="467" t="s">
        <v>60</v>
      </c>
      <c r="C436" s="338"/>
      <c r="D436" s="468">
        <v>50</v>
      </c>
      <c r="E436" s="468">
        <v>50</v>
      </c>
      <c r="F436" s="468">
        <v>0</v>
      </c>
      <c r="G436" s="468">
        <v>0</v>
      </c>
      <c r="H436" s="468">
        <v>0</v>
      </c>
      <c r="I436" s="468">
        <v>0</v>
      </c>
      <c r="J436" s="468">
        <v>50</v>
      </c>
      <c r="K436" s="468">
        <v>0</v>
      </c>
      <c r="L436" s="468">
        <v>0</v>
      </c>
      <c r="M436" s="468">
        <v>0</v>
      </c>
      <c r="N436" s="468">
        <f>SUM(F436+H436+J436+L436)</f>
        <v>50</v>
      </c>
      <c r="O436" s="468">
        <f>SUM(G436+I436+K436+M436)</f>
        <v>0</v>
      </c>
      <c r="P436" s="175"/>
    </row>
    <row r="437" spans="1:16" s="172" customFormat="1" ht="37.5" x14ac:dyDescent="0.2">
      <c r="A437" s="30" t="s">
        <v>12</v>
      </c>
      <c r="B437" s="85"/>
      <c r="C437" s="321"/>
      <c r="D437" s="33">
        <f t="shared" ref="D437:M437" si="112">SUM(D429+D434+D436)</f>
        <v>576</v>
      </c>
      <c r="E437" s="461">
        <f t="shared" si="112"/>
        <v>576</v>
      </c>
      <c r="F437" s="461">
        <f t="shared" si="112"/>
        <v>0</v>
      </c>
      <c r="G437" s="461">
        <f t="shared" si="112"/>
        <v>0</v>
      </c>
      <c r="H437" s="461">
        <f t="shared" si="112"/>
        <v>0</v>
      </c>
      <c r="I437" s="461">
        <f t="shared" si="112"/>
        <v>0</v>
      </c>
      <c r="J437" s="461">
        <f t="shared" si="112"/>
        <v>576</v>
      </c>
      <c r="K437" s="461">
        <f t="shared" si="112"/>
        <v>0</v>
      </c>
      <c r="L437" s="461">
        <f t="shared" si="112"/>
        <v>0</v>
      </c>
      <c r="M437" s="461">
        <f t="shared" si="112"/>
        <v>0</v>
      </c>
      <c r="N437" s="244">
        <f>SUM(F437+H437+J437+L437)</f>
        <v>576</v>
      </c>
      <c r="O437" s="244">
        <f>SUM(G437+I437+K437+M437)</f>
        <v>0</v>
      </c>
      <c r="P437" s="175"/>
    </row>
    <row r="438" spans="1:16" s="172" customFormat="1" ht="39" customHeight="1" x14ac:dyDescent="0.2">
      <c r="A438" s="645"/>
      <c r="B438" s="41" t="s">
        <v>59</v>
      </c>
      <c r="C438" s="41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175"/>
    </row>
    <row r="439" spans="1:16" ht="15.75" x14ac:dyDescent="0.2">
      <c r="A439" s="646"/>
      <c r="B439" s="41" t="s">
        <v>60</v>
      </c>
      <c r="C439" s="41"/>
      <c r="D439" s="33">
        <f t="shared" ref="D439:M439" si="113">SUM(D431+D434+D436)</f>
        <v>576</v>
      </c>
      <c r="E439" s="461">
        <f t="shared" si="113"/>
        <v>576</v>
      </c>
      <c r="F439" s="461">
        <f t="shared" si="113"/>
        <v>0</v>
      </c>
      <c r="G439" s="461">
        <f t="shared" si="113"/>
        <v>0</v>
      </c>
      <c r="H439" s="461">
        <f t="shared" si="113"/>
        <v>0</v>
      </c>
      <c r="I439" s="461">
        <f t="shared" si="113"/>
        <v>0</v>
      </c>
      <c r="J439" s="461">
        <f t="shared" si="113"/>
        <v>576</v>
      </c>
      <c r="K439" s="461">
        <f t="shared" si="113"/>
        <v>0</v>
      </c>
      <c r="L439" s="461">
        <f t="shared" si="113"/>
        <v>0</v>
      </c>
      <c r="M439" s="461">
        <f t="shared" si="113"/>
        <v>0</v>
      </c>
      <c r="N439" s="244">
        <f>SUM(F439+H439+J439+L439)</f>
        <v>576</v>
      </c>
      <c r="O439" s="244">
        <f>SUM(G439+I439+K439+M439)</f>
        <v>0</v>
      </c>
    </row>
    <row r="440" spans="1:16" ht="31.5" x14ac:dyDescent="0.2">
      <c r="A440" s="646"/>
      <c r="B440" s="86" t="s">
        <v>61</v>
      </c>
      <c r="C440" s="86"/>
      <c r="D440" s="33">
        <f t="shared" ref="D440:M440" si="114">SUM(D432)</f>
        <v>0</v>
      </c>
      <c r="E440" s="33">
        <f t="shared" si="114"/>
        <v>0</v>
      </c>
      <c r="F440" s="33">
        <f t="shared" si="114"/>
        <v>0</v>
      </c>
      <c r="G440" s="33">
        <f t="shared" si="114"/>
        <v>0</v>
      </c>
      <c r="H440" s="33">
        <f t="shared" si="114"/>
        <v>0</v>
      </c>
      <c r="I440" s="33">
        <f t="shared" si="114"/>
        <v>0</v>
      </c>
      <c r="J440" s="33">
        <f t="shared" si="114"/>
        <v>0</v>
      </c>
      <c r="K440" s="33">
        <f t="shared" si="114"/>
        <v>0</v>
      </c>
      <c r="L440" s="33">
        <f t="shared" si="114"/>
        <v>0</v>
      </c>
      <c r="M440" s="33">
        <f t="shared" si="114"/>
        <v>0</v>
      </c>
      <c r="N440" s="33">
        <f>SUM(F440+H440+J440+L440)</f>
        <v>0</v>
      </c>
      <c r="O440" s="33">
        <f>SUM(G440+I440+K440+M440)</f>
        <v>0</v>
      </c>
    </row>
    <row r="441" spans="1:16" ht="21.75" customHeight="1" x14ac:dyDescent="0.25">
      <c r="A441" s="657" t="s">
        <v>76</v>
      </c>
      <c r="B441" s="658"/>
      <c r="C441" s="658"/>
      <c r="D441" s="658"/>
      <c r="E441" s="658"/>
      <c r="F441" s="658"/>
      <c r="G441" s="658"/>
      <c r="H441" s="658"/>
      <c r="I441" s="658"/>
      <c r="J441" s="658"/>
      <c r="K441" s="658"/>
      <c r="L441" s="658"/>
      <c r="M441" s="658"/>
      <c r="N441" s="658"/>
      <c r="O441" s="659"/>
    </row>
    <row r="442" spans="1:16" s="493" customFormat="1" ht="59.25" customHeight="1" x14ac:dyDescent="0.25">
      <c r="A442" s="693"/>
      <c r="B442" s="582" t="s">
        <v>210</v>
      </c>
      <c r="C442" s="499"/>
      <c r="D442" s="551"/>
      <c r="E442" s="551"/>
      <c r="F442" s="551"/>
      <c r="G442" s="551"/>
      <c r="H442" s="551"/>
      <c r="I442" s="551"/>
      <c r="J442" s="551"/>
      <c r="K442" s="551"/>
      <c r="L442" s="551"/>
      <c r="M442" s="551"/>
      <c r="N442" s="422"/>
      <c r="O442" s="422"/>
    </row>
    <row r="443" spans="1:16" s="493" customFormat="1" ht="84" customHeight="1" x14ac:dyDescent="0.25">
      <c r="A443" s="612"/>
      <c r="B443" s="582" t="s">
        <v>211</v>
      </c>
      <c r="C443" s="499"/>
      <c r="D443" s="550"/>
      <c r="E443" s="550"/>
      <c r="F443" s="551"/>
      <c r="G443" s="551"/>
      <c r="H443" s="550"/>
      <c r="I443" s="551"/>
      <c r="J443" s="551"/>
      <c r="K443" s="551"/>
      <c r="L443" s="551"/>
      <c r="M443" s="551"/>
      <c r="N443" s="422"/>
      <c r="O443" s="422"/>
    </row>
    <row r="444" spans="1:16" s="493" customFormat="1" ht="30" customHeight="1" x14ac:dyDescent="0.25">
      <c r="A444" s="612"/>
      <c r="B444" s="581" t="s">
        <v>60</v>
      </c>
      <c r="C444" s="499"/>
      <c r="D444" s="594">
        <v>4618</v>
      </c>
      <c r="E444" s="594">
        <v>4618</v>
      </c>
      <c r="F444" s="586"/>
      <c r="G444" s="586"/>
      <c r="H444" s="594"/>
      <c r="I444" s="586"/>
      <c r="J444" s="586">
        <v>4618</v>
      </c>
      <c r="K444" s="586">
        <v>1058.3</v>
      </c>
      <c r="L444" s="586"/>
      <c r="M444" s="586"/>
      <c r="N444" s="577">
        <f>SUM(H444+J444)</f>
        <v>4618</v>
      </c>
      <c r="O444" s="577">
        <f>SUM(G444+I444+K444+M444)</f>
        <v>1058.3</v>
      </c>
    </row>
    <row r="445" spans="1:16" s="493" customFormat="1" ht="48" customHeight="1" x14ac:dyDescent="0.25">
      <c r="A445" s="612"/>
      <c r="B445" s="582" t="s">
        <v>212</v>
      </c>
      <c r="C445" s="499"/>
      <c r="D445" s="594"/>
      <c r="E445" s="594"/>
      <c r="F445" s="586"/>
      <c r="G445" s="586"/>
      <c r="H445" s="586"/>
      <c r="I445" s="586"/>
      <c r="J445" s="586"/>
      <c r="K445" s="586"/>
      <c r="L445" s="586"/>
      <c r="M445" s="586"/>
      <c r="N445" s="587"/>
      <c r="O445" s="587"/>
    </row>
    <row r="446" spans="1:16" s="572" customFormat="1" ht="48" customHeight="1" x14ac:dyDescent="0.25">
      <c r="A446" s="612"/>
      <c r="B446" s="582" t="s">
        <v>213</v>
      </c>
      <c r="C446" s="584"/>
      <c r="D446" s="594">
        <v>1480.2</v>
      </c>
      <c r="E446" s="594">
        <v>1480.2</v>
      </c>
      <c r="F446" s="586"/>
      <c r="G446" s="586"/>
      <c r="H446" s="586"/>
      <c r="I446" s="586"/>
      <c r="J446" s="586">
        <v>1480.2</v>
      </c>
      <c r="K446" s="586">
        <v>605.4</v>
      </c>
      <c r="L446" s="586"/>
      <c r="M446" s="586"/>
      <c r="N446" s="577">
        <f>SUM(H446+J446)</f>
        <v>1480.2</v>
      </c>
      <c r="O446" s="577">
        <f>SUM(G446+I446+K446+M446)</f>
        <v>605.4</v>
      </c>
    </row>
    <row r="447" spans="1:16" s="493" customFormat="1" ht="49.5" customHeight="1" thickBot="1" x14ac:dyDescent="0.3">
      <c r="A447" s="613"/>
      <c r="B447" s="581" t="s">
        <v>214</v>
      </c>
      <c r="C447" s="499"/>
      <c r="D447" s="586">
        <v>14956.5</v>
      </c>
      <c r="E447" s="586">
        <v>14956.5</v>
      </c>
      <c r="F447" s="586"/>
      <c r="G447" s="586"/>
      <c r="H447" s="586"/>
      <c r="I447" s="586"/>
      <c r="J447" s="586">
        <v>14956.5</v>
      </c>
      <c r="K447" s="586">
        <v>6121.3</v>
      </c>
      <c r="L447" s="586"/>
      <c r="M447" s="586"/>
      <c r="N447" s="577">
        <f>SUM(H447+J447)</f>
        <v>14956.5</v>
      </c>
      <c r="O447" s="577">
        <f>SUM(G447+I447+K447+M447)</f>
        <v>6121.3</v>
      </c>
    </row>
    <row r="448" spans="1:16" s="172" customFormat="1" ht="48" customHeight="1" x14ac:dyDescent="0.2">
      <c r="A448" s="30" t="s">
        <v>12</v>
      </c>
      <c r="B448" s="85"/>
      <c r="C448" s="321"/>
      <c r="D448" s="549">
        <f t="shared" ref="D448:O448" si="115">SUM(D444+D447+D446)</f>
        <v>21054.7</v>
      </c>
      <c r="E448" s="585">
        <f t="shared" si="115"/>
        <v>21054.7</v>
      </c>
      <c r="F448" s="585">
        <f t="shared" si="115"/>
        <v>0</v>
      </c>
      <c r="G448" s="585">
        <f t="shared" si="115"/>
        <v>0</v>
      </c>
      <c r="H448" s="585">
        <f t="shared" si="115"/>
        <v>0</v>
      </c>
      <c r="I448" s="585">
        <f t="shared" si="115"/>
        <v>0</v>
      </c>
      <c r="J448" s="585">
        <f t="shared" si="115"/>
        <v>21054.7</v>
      </c>
      <c r="K448" s="585">
        <f t="shared" si="115"/>
        <v>7785</v>
      </c>
      <c r="L448" s="585">
        <f t="shared" si="115"/>
        <v>0</v>
      </c>
      <c r="M448" s="585">
        <f t="shared" si="115"/>
        <v>0</v>
      </c>
      <c r="N448" s="585">
        <f t="shared" si="115"/>
        <v>21054.7</v>
      </c>
      <c r="O448" s="585">
        <f t="shared" si="115"/>
        <v>7785</v>
      </c>
      <c r="P448" s="175"/>
    </row>
    <row r="449" spans="1:16" s="172" customFormat="1" ht="15.75" x14ac:dyDescent="0.2">
      <c r="A449" s="645"/>
      <c r="B449" s="495" t="s">
        <v>59</v>
      </c>
      <c r="C449" s="462"/>
      <c r="D449" s="549"/>
      <c r="E449" s="549"/>
      <c r="F449" s="549"/>
      <c r="G449" s="549"/>
      <c r="H449" s="549"/>
      <c r="I449" s="549"/>
      <c r="J449" s="549"/>
      <c r="K449" s="549"/>
      <c r="L449" s="549"/>
      <c r="M449" s="549"/>
      <c r="N449" s="549"/>
      <c r="O449" s="552"/>
      <c r="P449" s="175"/>
    </row>
    <row r="450" spans="1:16" ht="15.75" x14ac:dyDescent="0.2">
      <c r="A450" s="646"/>
      <c r="B450" s="495" t="s">
        <v>60</v>
      </c>
      <c r="C450" s="462"/>
      <c r="D450" s="549">
        <f t="shared" ref="D450:O450" si="116">SUM(D444+D446)</f>
        <v>6098.2</v>
      </c>
      <c r="E450" s="585">
        <f t="shared" si="116"/>
        <v>6098.2</v>
      </c>
      <c r="F450" s="585">
        <f t="shared" si="116"/>
        <v>0</v>
      </c>
      <c r="G450" s="585">
        <f t="shared" si="116"/>
        <v>0</v>
      </c>
      <c r="H450" s="585">
        <f t="shared" si="116"/>
        <v>0</v>
      </c>
      <c r="I450" s="585">
        <f t="shared" si="116"/>
        <v>0</v>
      </c>
      <c r="J450" s="585">
        <f t="shared" si="116"/>
        <v>6098.2</v>
      </c>
      <c r="K450" s="585">
        <f t="shared" si="116"/>
        <v>1663.6999999999998</v>
      </c>
      <c r="L450" s="585">
        <f t="shared" si="116"/>
        <v>0</v>
      </c>
      <c r="M450" s="585">
        <f t="shared" si="116"/>
        <v>0</v>
      </c>
      <c r="N450" s="585">
        <f t="shared" si="116"/>
        <v>6098.2</v>
      </c>
      <c r="O450" s="585">
        <f t="shared" si="116"/>
        <v>1663.6999999999998</v>
      </c>
    </row>
    <row r="451" spans="1:16" ht="31.5" x14ac:dyDescent="0.2">
      <c r="A451" s="646"/>
      <c r="B451" s="496" t="s">
        <v>61</v>
      </c>
      <c r="C451" s="463"/>
      <c r="D451" s="549">
        <f>SUM(D447)</f>
        <v>14956.5</v>
      </c>
      <c r="E451" s="585">
        <f>SUM(E447)</f>
        <v>14956.5</v>
      </c>
      <c r="F451" s="585">
        <f>SUM(F447)</f>
        <v>0</v>
      </c>
      <c r="G451" s="585">
        <f>SUM(G447)</f>
        <v>0</v>
      </c>
      <c r="H451" s="549">
        <f t="shared" ref="H451:M451" si="117">SUM(H444)</f>
        <v>0</v>
      </c>
      <c r="I451" s="549">
        <f t="shared" si="117"/>
        <v>0</v>
      </c>
      <c r="J451" s="585">
        <f>SUM(J447)</f>
        <v>14956.5</v>
      </c>
      <c r="K451" s="585">
        <f>SUM(K447)</f>
        <v>6121.3</v>
      </c>
      <c r="L451" s="549">
        <f t="shared" si="117"/>
        <v>0</v>
      </c>
      <c r="M451" s="549">
        <f t="shared" si="117"/>
        <v>0</v>
      </c>
      <c r="N451" s="585">
        <f>SUM(N447)</f>
        <v>14956.5</v>
      </c>
      <c r="O451" s="585">
        <f>SUM(O447)</f>
        <v>6121.3</v>
      </c>
    </row>
    <row r="452" spans="1:16" ht="37.5" x14ac:dyDescent="0.2">
      <c r="A452" s="108" t="s">
        <v>50</v>
      </c>
      <c r="B452" s="168"/>
      <c r="C452" s="168"/>
      <c r="D452" s="166">
        <f t="shared" ref="D452:O452" si="118">SUM(D437+D424+D347+D322+D299+D241+D226+D208+D154+D50+D17+D10+D448+D58)</f>
        <v>608984.04999999993</v>
      </c>
      <c r="E452" s="166">
        <f t="shared" si="118"/>
        <v>608984.04999999993</v>
      </c>
      <c r="F452" s="166">
        <f t="shared" si="118"/>
        <v>87539.549999999974</v>
      </c>
      <c r="G452" s="166">
        <f t="shared" si="118"/>
        <v>80672.199999999983</v>
      </c>
      <c r="H452" s="166">
        <f t="shared" si="118"/>
        <v>162772.04999999999</v>
      </c>
      <c r="I452" s="166">
        <f t="shared" si="118"/>
        <v>115241.01</v>
      </c>
      <c r="J452" s="166">
        <f t="shared" si="118"/>
        <v>189263.15</v>
      </c>
      <c r="K452" s="166">
        <f t="shared" si="118"/>
        <v>161796.98000000001</v>
      </c>
      <c r="L452" s="166">
        <f t="shared" si="118"/>
        <v>174453.63999999998</v>
      </c>
      <c r="M452" s="166">
        <f t="shared" si="118"/>
        <v>5274.34</v>
      </c>
      <c r="N452" s="166">
        <f t="shared" si="118"/>
        <v>608984.04999999993</v>
      </c>
      <c r="O452" s="166">
        <f t="shared" si="118"/>
        <v>358189.09</v>
      </c>
    </row>
    <row r="453" spans="1:16" ht="18.75" x14ac:dyDescent="0.2">
      <c r="A453" s="17"/>
      <c r="B453" s="87" t="s">
        <v>59</v>
      </c>
      <c r="C453" s="8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261"/>
      <c r="O453" s="262"/>
    </row>
    <row r="454" spans="1:16" ht="43.5" customHeight="1" x14ac:dyDescent="0.2">
      <c r="A454" s="17"/>
      <c r="B454" s="87" t="s">
        <v>60</v>
      </c>
      <c r="C454" s="87"/>
      <c r="D454" s="166">
        <f t="shared" ref="D454:O454" si="119">SUM(D450+D439+D426+D349+D324+D301+D243+D228+D210+D156+D52+D19+D12+D60)</f>
        <v>538097.85</v>
      </c>
      <c r="E454" s="166">
        <f t="shared" si="119"/>
        <v>538097.85</v>
      </c>
      <c r="F454" s="166">
        <f t="shared" si="119"/>
        <v>85533.449999999983</v>
      </c>
      <c r="G454" s="166">
        <f t="shared" si="119"/>
        <v>78675.599999999991</v>
      </c>
      <c r="H454" s="166">
        <f t="shared" si="119"/>
        <v>136870.34999999998</v>
      </c>
      <c r="I454" s="166">
        <f t="shared" si="119"/>
        <v>111331.76</v>
      </c>
      <c r="J454" s="166">
        <f t="shared" si="119"/>
        <v>161279.35</v>
      </c>
      <c r="K454" s="166">
        <f t="shared" si="119"/>
        <v>140222.84000000003</v>
      </c>
      <c r="L454" s="166">
        <f t="shared" si="119"/>
        <v>154464.69999999995</v>
      </c>
      <c r="M454" s="166">
        <f t="shared" si="119"/>
        <v>0</v>
      </c>
      <c r="N454" s="166">
        <f t="shared" si="119"/>
        <v>538147.85</v>
      </c>
      <c r="O454" s="166">
        <f t="shared" si="119"/>
        <v>330460.2</v>
      </c>
    </row>
    <row r="455" spans="1:16" ht="31.5" x14ac:dyDescent="0.2">
      <c r="A455" s="263"/>
      <c r="B455" s="88" t="s">
        <v>61</v>
      </c>
      <c r="C455" s="88"/>
      <c r="D455" s="264">
        <f t="shared" ref="D455:O455" si="120">SUM(D440+D427+D350+D229+D157+D53+D451+D325+D302+D244+D211+D61)</f>
        <v>70586.200000000012</v>
      </c>
      <c r="E455" s="264">
        <f t="shared" si="120"/>
        <v>70586.200000000012</v>
      </c>
      <c r="F455" s="264">
        <f t="shared" si="120"/>
        <v>2006.1000000000001</v>
      </c>
      <c r="G455" s="264">
        <f t="shared" si="120"/>
        <v>3</v>
      </c>
      <c r="H455" s="264">
        <f t="shared" si="120"/>
        <v>25901.300000000003</v>
      </c>
      <c r="I455" s="264">
        <f t="shared" si="120"/>
        <v>3909.25</v>
      </c>
      <c r="J455" s="264">
        <f t="shared" si="120"/>
        <v>27963.8</v>
      </c>
      <c r="K455" s="264">
        <f t="shared" si="120"/>
        <v>21759.840000000004</v>
      </c>
      <c r="L455" s="264">
        <f t="shared" si="120"/>
        <v>14714.599999999999</v>
      </c>
      <c r="M455" s="264">
        <f t="shared" si="120"/>
        <v>0</v>
      </c>
      <c r="N455" s="414">
        <f t="shared" si="120"/>
        <v>70585.8</v>
      </c>
      <c r="O455" s="415">
        <f t="shared" si="120"/>
        <v>27665.690000000002</v>
      </c>
    </row>
    <row r="456" spans="1:16" ht="18.75" x14ac:dyDescent="0.3">
      <c r="A456" s="290"/>
      <c r="B456" s="291"/>
      <c r="C456" s="291"/>
      <c r="D456" s="291"/>
      <c r="E456" s="291"/>
      <c r="F456" s="291"/>
      <c r="G456" s="291"/>
      <c r="H456" s="291"/>
      <c r="I456" s="291"/>
      <c r="J456" s="291"/>
      <c r="K456" s="291"/>
      <c r="L456" s="291"/>
      <c r="M456" s="291"/>
      <c r="N456" s="291"/>
      <c r="O456" s="291"/>
    </row>
    <row r="457" spans="1:16" ht="18.75" x14ac:dyDescent="0.2">
      <c r="A457" s="265"/>
      <c r="B457" s="289"/>
      <c r="C457" s="289"/>
      <c r="D457" s="266"/>
      <c r="E457" s="266"/>
      <c r="F457" s="266"/>
      <c r="G457" s="266"/>
      <c r="H457" s="266"/>
      <c r="I457" s="266"/>
      <c r="J457" s="266"/>
      <c r="K457" s="266"/>
      <c r="L457" s="266"/>
      <c r="M457" s="266"/>
      <c r="N457" s="266"/>
      <c r="O457" s="266"/>
      <c r="P457" s="266"/>
    </row>
    <row r="458" spans="1:16" ht="38.25" customHeight="1" x14ac:dyDescent="0.3">
      <c r="A458" s="265"/>
      <c r="B458" s="266"/>
      <c r="C458" s="266"/>
      <c r="D458" s="266"/>
      <c r="E458" s="266"/>
      <c r="F458" s="266"/>
      <c r="G458" s="266"/>
      <c r="H458" s="266"/>
      <c r="I458" s="266"/>
      <c r="J458" s="266"/>
      <c r="K458" s="266"/>
      <c r="L458" s="266"/>
      <c r="M458" s="266"/>
      <c r="N458" s="266"/>
      <c r="O458" s="266"/>
      <c r="P458" s="292"/>
    </row>
    <row r="459" spans="1:16" ht="62.25" customHeight="1" x14ac:dyDescent="0.2">
      <c r="P459" s="266"/>
    </row>
    <row r="460" spans="1:16" ht="61.5" customHeight="1" x14ac:dyDescent="0.2">
      <c r="P460" s="266"/>
    </row>
  </sheetData>
  <mergeCells count="67">
    <mergeCell ref="A159:A162"/>
    <mergeCell ref="A442:A447"/>
    <mergeCell ref="A438:A440"/>
    <mergeCell ref="A278:A285"/>
    <mergeCell ref="A287:A289"/>
    <mergeCell ref="A290:A293"/>
    <mergeCell ref="A304:A306"/>
    <mergeCell ref="A428:O428"/>
    <mergeCell ref="A327:A342"/>
    <mergeCell ref="A303:O303"/>
    <mergeCell ref="A429:A436"/>
    <mergeCell ref="C429:C432"/>
    <mergeCell ref="C384:C419"/>
    <mergeCell ref="A384:A419"/>
    <mergeCell ref="C330:C342"/>
    <mergeCell ref="A62:O62"/>
    <mergeCell ref="A54:O54"/>
    <mergeCell ref="A63:A66"/>
    <mergeCell ref="A212:O212"/>
    <mergeCell ref="A18:A20"/>
    <mergeCell ref="A22:A27"/>
    <mergeCell ref="A32:A41"/>
    <mergeCell ref="A71:A78"/>
    <mergeCell ref="A163:A202"/>
    <mergeCell ref="A80:A82"/>
    <mergeCell ref="C63:C66"/>
    <mergeCell ref="C22:C27"/>
    <mergeCell ref="A83:A140"/>
    <mergeCell ref="A158:O158"/>
    <mergeCell ref="A145:A148"/>
    <mergeCell ref="C145:C148"/>
    <mergeCell ref="A8:A9"/>
    <mergeCell ref="A7:O7"/>
    <mergeCell ref="A55:A57"/>
    <mergeCell ref="A449:A451"/>
    <mergeCell ref="A351:N351"/>
    <mergeCell ref="A352:A356"/>
    <mergeCell ref="A361:A379"/>
    <mergeCell ref="A381:A383"/>
    <mergeCell ref="A421:A423"/>
    <mergeCell ref="A319:A321"/>
    <mergeCell ref="A323:A325"/>
    <mergeCell ref="A441:O441"/>
    <mergeCell ref="A326:O326"/>
    <mergeCell ref="A21:O21"/>
    <mergeCell ref="A209:A211"/>
    <mergeCell ref="A15:O15"/>
    <mergeCell ref="A1:N3"/>
    <mergeCell ref="A4:A6"/>
    <mergeCell ref="B4:B6"/>
    <mergeCell ref="D4:D6"/>
    <mergeCell ref="E4:E6"/>
    <mergeCell ref="F5:G5"/>
    <mergeCell ref="H5:I5"/>
    <mergeCell ref="J5:K5"/>
    <mergeCell ref="F4:O4"/>
    <mergeCell ref="N5:O5"/>
    <mergeCell ref="L5:M5"/>
    <mergeCell ref="C4:C6"/>
    <mergeCell ref="A270:A273"/>
    <mergeCell ref="A311:A312"/>
    <mergeCell ref="A218:A219"/>
    <mergeCell ref="A245:O245"/>
    <mergeCell ref="A238:A240"/>
    <mergeCell ref="A221:A223"/>
    <mergeCell ref="A230:O230"/>
    <mergeCell ref="A246:A265"/>
  </mergeCells>
  <pageMargins left="0.23622047244094491" right="0.19685039370078741" top="0.39370078740157483" bottom="0.19685039370078741" header="0.23622047244094491" footer="0.19685039370078741"/>
  <pageSetup paperSize="9" scale="53" orientation="landscape" r:id="rId1"/>
  <headerFooter alignWithMargins="0"/>
  <rowBreaks count="2" manualBreakCount="2">
    <brk id="134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2021-11-08T07:01:57Z</dcterms:modified>
</cp:coreProperties>
</file>