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00" windowWidth="15120" windowHeight="7215"/>
  </bookViews>
  <sheets>
    <sheet name="2021 год" sheetId="8" r:id="rId1"/>
  </sheets>
  <definedNames>
    <definedName name="_xlnm.Print_Area" localSheetId="0">'2021 год'!$A$1:$O$478</definedName>
  </definedNames>
  <calcPr calcId="145621"/>
</workbook>
</file>

<file path=xl/calcChain.xml><?xml version="1.0" encoding="utf-8"?>
<calcChain xmlns="http://schemas.openxmlformats.org/spreadsheetml/2006/main">
  <c r="M471" i="8" l="1"/>
  <c r="L471" i="8"/>
  <c r="K471" i="8"/>
  <c r="J471" i="8"/>
  <c r="I471" i="8"/>
  <c r="H471" i="8"/>
  <c r="G471" i="8"/>
  <c r="F471" i="8"/>
  <c r="E471" i="8"/>
  <c r="D471" i="8"/>
  <c r="M470" i="8"/>
  <c r="L470" i="8"/>
  <c r="K470" i="8"/>
  <c r="J470" i="8"/>
  <c r="I470" i="8"/>
  <c r="H470" i="8"/>
  <c r="G470" i="8"/>
  <c r="F470" i="8"/>
  <c r="E470" i="8"/>
  <c r="D470" i="8"/>
  <c r="M468" i="8"/>
  <c r="L468" i="8"/>
  <c r="K468" i="8"/>
  <c r="J468" i="8"/>
  <c r="I468" i="8"/>
  <c r="H468" i="8"/>
  <c r="G468" i="8"/>
  <c r="F468" i="8"/>
  <c r="E468" i="8"/>
  <c r="D468" i="8"/>
  <c r="O465" i="8"/>
  <c r="N465" i="8"/>
  <c r="N463" i="8"/>
  <c r="N467" i="8"/>
  <c r="N470" i="8" s="1"/>
  <c r="O467" i="8"/>
  <c r="O470" i="8" s="1"/>
  <c r="O463" i="8"/>
  <c r="O461" i="8"/>
  <c r="O459" i="8"/>
  <c r="N461" i="8"/>
  <c r="N459" i="8"/>
  <c r="O455" i="8"/>
  <c r="O468" i="8" s="1"/>
  <c r="N455" i="8"/>
  <c r="N468" i="8" s="1"/>
  <c r="O456" i="8"/>
  <c r="N456" i="8"/>
  <c r="M452" i="8"/>
  <c r="L452" i="8"/>
  <c r="K452" i="8"/>
  <c r="J452" i="8"/>
  <c r="I452" i="8"/>
  <c r="H452" i="8"/>
  <c r="G452" i="8"/>
  <c r="F452" i="8"/>
  <c r="E452" i="8"/>
  <c r="D452" i="8"/>
  <c r="M450" i="8"/>
  <c r="L450" i="8"/>
  <c r="K450" i="8"/>
  <c r="J450" i="8"/>
  <c r="I450" i="8"/>
  <c r="H450" i="8"/>
  <c r="G450" i="8"/>
  <c r="F450" i="8"/>
  <c r="E450" i="8"/>
  <c r="D450" i="8"/>
  <c r="M378" i="8"/>
  <c r="L378" i="8"/>
  <c r="K378" i="8"/>
  <c r="J378" i="8"/>
  <c r="I378" i="8"/>
  <c r="H378" i="8"/>
  <c r="G378" i="8"/>
  <c r="F378" i="8"/>
  <c r="E378" i="8"/>
  <c r="D378" i="8"/>
  <c r="M376" i="8"/>
  <c r="L376" i="8"/>
  <c r="K376" i="8"/>
  <c r="J376" i="8"/>
  <c r="I376" i="8"/>
  <c r="H376" i="8"/>
  <c r="G376" i="8"/>
  <c r="F376" i="8"/>
  <c r="E376" i="8"/>
  <c r="D376" i="8"/>
  <c r="O429" i="8" l="1"/>
  <c r="O427" i="8"/>
  <c r="M365" i="8"/>
  <c r="J365" i="8"/>
  <c r="I365" i="8"/>
  <c r="H365" i="8"/>
  <c r="G365" i="8"/>
  <c r="F365" i="8"/>
  <c r="D365" i="8"/>
  <c r="M364" i="8"/>
  <c r="K364" i="8"/>
  <c r="J364" i="8"/>
  <c r="I364" i="8"/>
  <c r="H364" i="8"/>
  <c r="G364" i="8"/>
  <c r="F364" i="8"/>
  <c r="D364" i="8"/>
  <c r="M362" i="8"/>
  <c r="K362" i="8"/>
  <c r="J362" i="8"/>
  <c r="I362" i="8"/>
  <c r="H362" i="8"/>
  <c r="G362" i="8"/>
  <c r="F362" i="8"/>
  <c r="D362" i="8"/>
  <c r="E355" i="8"/>
  <c r="E354" i="8"/>
  <c r="N348" i="8"/>
  <c r="O348" i="8"/>
  <c r="N349" i="8"/>
  <c r="O349" i="8"/>
  <c r="N350" i="8"/>
  <c r="O350" i="8"/>
  <c r="E353" i="8"/>
  <c r="E352" i="8"/>
  <c r="E351" i="8"/>
  <c r="E350" i="8"/>
  <c r="E349" i="8"/>
  <c r="E348" i="8"/>
  <c r="K346" i="8"/>
  <c r="L346" i="8" s="1"/>
  <c r="L365" i="8" s="1"/>
  <c r="L345" i="8"/>
  <c r="L364" i="8" s="1"/>
  <c r="E345" i="8"/>
  <c r="L344" i="8"/>
  <c r="L362" i="8" s="1"/>
  <c r="E344" i="8"/>
  <c r="E362" i="8" l="1"/>
  <c r="E364" i="8"/>
  <c r="E365" i="8"/>
  <c r="K365" i="8"/>
  <c r="N269" i="8"/>
  <c r="O269" i="8"/>
  <c r="N271" i="8"/>
  <c r="O271" i="8"/>
  <c r="D281" i="8"/>
  <c r="M219" i="8" l="1"/>
  <c r="L219" i="8"/>
  <c r="J219" i="8"/>
  <c r="I219" i="8"/>
  <c r="H219" i="8"/>
  <c r="G219" i="8"/>
  <c r="F219" i="8"/>
  <c r="E219" i="8"/>
  <c r="M221" i="8"/>
  <c r="L221" i="8"/>
  <c r="K221" i="8"/>
  <c r="J221" i="8"/>
  <c r="I221" i="8"/>
  <c r="H221" i="8"/>
  <c r="G221" i="8"/>
  <c r="F221" i="8"/>
  <c r="E221" i="8"/>
  <c r="K222" i="8"/>
  <c r="H222" i="8"/>
  <c r="E222" i="8"/>
  <c r="D222" i="8"/>
  <c r="D221" i="8"/>
  <c r="D219" i="8"/>
  <c r="O205" i="8"/>
  <c r="N205" i="8"/>
  <c r="O216" i="8"/>
  <c r="N216" i="8"/>
  <c r="O214" i="8"/>
  <c r="O212" i="8"/>
  <c r="N212" i="8"/>
  <c r="O210" i="8"/>
  <c r="N210" i="8"/>
  <c r="O208" i="8"/>
  <c r="N208" i="8"/>
  <c r="O207" i="8"/>
  <c r="N207" i="8"/>
  <c r="O206" i="8" l="1"/>
  <c r="N206" i="8"/>
  <c r="N218" i="8"/>
  <c r="O218" i="8"/>
  <c r="O200" i="8"/>
  <c r="N200" i="8"/>
  <c r="O196" i="8"/>
  <c r="N81" i="8" l="1"/>
  <c r="O152" i="8"/>
  <c r="O150" i="8"/>
  <c r="M145" i="8"/>
  <c r="L145" i="8"/>
  <c r="K145" i="8"/>
  <c r="J145" i="8"/>
  <c r="I145" i="8"/>
  <c r="H145" i="8"/>
  <c r="G145" i="8"/>
  <c r="F145" i="8"/>
  <c r="E145" i="8"/>
  <c r="D145" i="8"/>
  <c r="O140" i="8"/>
  <c r="O138" i="8"/>
  <c r="N140" i="8"/>
  <c r="N138" i="8"/>
  <c r="O100" i="8"/>
  <c r="N100" i="8"/>
  <c r="E81" i="8"/>
  <c r="D81" i="8"/>
  <c r="M81" i="8"/>
  <c r="L81" i="8"/>
  <c r="O78" i="8"/>
  <c r="O74" i="8"/>
  <c r="O36" i="8" l="1"/>
  <c r="O37" i="8"/>
  <c r="M44" i="8"/>
  <c r="D44" i="8"/>
  <c r="L41" i="8" l="1"/>
  <c r="J41" i="8"/>
  <c r="H41" i="8"/>
  <c r="H39" i="8" s="1"/>
  <c r="F41" i="8"/>
  <c r="L40" i="8"/>
  <c r="J40" i="8"/>
  <c r="D40" i="8"/>
  <c r="D39" i="8" s="1"/>
  <c r="M39" i="8"/>
  <c r="L39" i="8"/>
  <c r="K39" i="8"/>
  <c r="I39" i="8"/>
  <c r="G39" i="8"/>
  <c r="F39" i="8"/>
  <c r="M38" i="8"/>
  <c r="L38" i="8"/>
  <c r="J38" i="8"/>
  <c r="E37" i="8"/>
  <c r="E36" i="8"/>
  <c r="L35" i="8"/>
  <c r="K35" i="8"/>
  <c r="J35" i="8"/>
  <c r="E35" i="8" s="1"/>
  <c r="L34" i="8"/>
  <c r="K34" i="8"/>
  <c r="J34" i="8"/>
  <c r="E34" i="8" s="1"/>
  <c r="E33" i="8"/>
  <c r="M32" i="8"/>
  <c r="L32" i="8"/>
  <c r="J32" i="8"/>
  <c r="I32" i="8"/>
  <c r="H32" i="8"/>
  <c r="D32" i="8"/>
  <c r="L27" i="8"/>
  <c r="J27" i="8"/>
  <c r="D27" i="8"/>
  <c r="L26" i="8"/>
  <c r="E26" i="8" s="1"/>
  <c r="L25" i="8"/>
  <c r="H25" i="8"/>
  <c r="L24" i="8"/>
  <c r="E24" i="8" s="1"/>
  <c r="L23" i="8"/>
  <c r="E23" i="8" s="1"/>
  <c r="E22" i="8"/>
  <c r="E25" i="8" l="1"/>
  <c r="E32" i="8"/>
  <c r="E38" i="8"/>
  <c r="E40" i="8"/>
  <c r="E41" i="8"/>
  <c r="J39" i="8"/>
  <c r="E39" i="8" s="1"/>
  <c r="E27" i="8"/>
  <c r="I340" i="8"/>
  <c r="H340" i="8"/>
  <c r="K325" i="8"/>
  <c r="K340" i="8" s="1"/>
  <c r="J325" i="8"/>
  <c r="J340" i="8" s="1"/>
  <c r="E325" i="8"/>
  <c r="E340" i="8" s="1"/>
  <c r="D325" i="8"/>
  <c r="D340" i="8" s="1"/>
  <c r="M324" i="8"/>
  <c r="L324" i="8"/>
  <c r="K324" i="8"/>
  <c r="J324" i="8"/>
  <c r="I324" i="8"/>
  <c r="H324" i="8"/>
  <c r="G324" i="8"/>
  <c r="F324" i="8"/>
  <c r="E324" i="8"/>
  <c r="D324" i="8"/>
  <c r="O457" i="8" l="1"/>
  <c r="O471" i="8" s="1"/>
  <c r="O204" i="8"/>
  <c r="N204" i="8"/>
  <c r="O202" i="8"/>
  <c r="N202" i="8"/>
  <c r="O198" i="8"/>
  <c r="K167" i="8"/>
  <c r="K219" i="8" s="1"/>
  <c r="O112" i="8" l="1"/>
  <c r="N112" i="8"/>
  <c r="N88" i="8"/>
  <c r="O374" i="8"/>
  <c r="N374" i="8"/>
  <c r="O267" i="8" l="1"/>
  <c r="O265" i="8"/>
  <c r="O275" i="8"/>
  <c r="O273" i="8"/>
  <c r="N155" i="8" l="1"/>
  <c r="L155" i="8"/>
  <c r="K155" i="8"/>
  <c r="J155" i="8"/>
  <c r="H155" i="8"/>
  <c r="G155" i="8"/>
  <c r="F155" i="8"/>
  <c r="E155" i="8"/>
  <c r="D155" i="8"/>
  <c r="N153" i="8"/>
  <c r="L153" i="8"/>
  <c r="K153" i="8"/>
  <c r="J153" i="8"/>
  <c r="I153" i="8"/>
  <c r="H153" i="8"/>
  <c r="G153" i="8"/>
  <c r="F153" i="8"/>
  <c r="E153" i="8"/>
  <c r="D153" i="8"/>
  <c r="O155" i="8"/>
  <c r="I44" i="8"/>
  <c r="H44" i="8"/>
  <c r="G44" i="8"/>
  <c r="F44" i="8"/>
  <c r="M42" i="8"/>
  <c r="O40" i="8"/>
  <c r="N37" i="8"/>
  <c r="G42" i="8"/>
  <c r="F42" i="8"/>
  <c r="L44" i="8"/>
  <c r="K44" i="8"/>
  <c r="J44" i="8"/>
  <c r="K30" i="8"/>
  <c r="O23" i="8"/>
  <c r="O153" i="8" l="1"/>
  <c r="J42" i="8"/>
  <c r="I42" i="8"/>
  <c r="L42" i="8"/>
  <c r="D42" i="8"/>
  <c r="H42" i="8"/>
  <c r="K42" i="8"/>
  <c r="E44" i="8"/>
  <c r="E42" i="8" l="1"/>
  <c r="N457" i="8" l="1"/>
  <c r="N471" i="8" s="1"/>
  <c r="L441" i="8"/>
  <c r="J441" i="8"/>
  <c r="I441" i="8"/>
  <c r="H441" i="8"/>
  <c r="G441" i="8"/>
  <c r="F441" i="8"/>
  <c r="E441" i="8"/>
  <c r="D441" i="8"/>
  <c r="O345" i="8"/>
  <c r="M322" i="8"/>
  <c r="L322" i="8"/>
  <c r="K322" i="8"/>
  <c r="J322" i="8"/>
  <c r="I322" i="8"/>
  <c r="H322" i="8"/>
  <c r="G322" i="8"/>
  <c r="F322" i="8"/>
  <c r="E322" i="8"/>
  <c r="D322" i="8"/>
  <c r="O320" i="8"/>
  <c r="N320" i="8"/>
  <c r="L283" i="8"/>
  <c r="K283" i="8"/>
  <c r="J283" i="8"/>
  <c r="I283" i="8"/>
  <c r="H283" i="8"/>
  <c r="G283" i="8"/>
  <c r="F283" i="8"/>
  <c r="E283" i="8"/>
  <c r="D283" i="8"/>
  <c r="M281" i="8"/>
  <c r="L281" i="8"/>
  <c r="K281" i="8"/>
  <c r="J281" i="8"/>
  <c r="I281" i="8"/>
  <c r="H281" i="8"/>
  <c r="G281" i="8"/>
  <c r="F281" i="8"/>
  <c r="E281" i="8"/>
  <c r="N275" i="8"/>
  <c r="N273" i="8"/>
  <c r="O194" i="8" l="1"/>
  <c r="M147" i="8"/>
  <c r="L147" i="8"/>
  <c r="K147" i="8"/>
  <c r="J147" i="8"/>
  <c r="I147" i="8"/>
  <c r="H147" i="8"/>
  <c r="G147" i="8"/>
  <c r="F147" i="8"/>
  <c r="E147" i="8"/>
  <c r="O86" i="8"/>
  <c r="N86" i="8"/>
  <c r="O88" i="8"/>
  <c r="O90" i="8"/>
  <c r="N90" i="8"/>
  <c r="O92" i="8"/>
  <c r="N92" i="8"/>
  <c r="O94" i="8"/>
  <c r="N94" i="8"/>
  <c r="O96" i="8"/>
  <c r="N96" i="8"/>
  <c r="O98" i="8"/>
  <c r="N98" i="8"/>
  <c r="O102" i="8"/>
  <c r="N102" i="8"/>
  <c r="O104" i="8"/>
  <c r="N104" i="8"/>
  <c r="O106" i="8"/>
  <c r="N106" i="8"/>
  <c r="O108" i="8"/>
  <c r="N108" i="8"/>
  <c r="O110" i="8"/>
  <c r="N110" i="8"/>
  <c r="O114" i="8"/>
  <c r="N114" i="8"/>
  <c r="O116" i="8"/>
  <c r="N116" i="8"/>
  <c r="O118" i="8"/>
  <c r="N118" i="8"/>
  <c r="O120" i="8"/>
  <c r="N120" i="8"/>
  <c r="O122" i="8"/>
  <c r="N122" i="8"/>
  <c r="O124" i="8"/>
  <c r="N124" i="8"/>
  <c r="O126" i="8"/>
  <c r="N126" i="8"/>
  <c r="O128" i="8"/>
  <c r="N128" i="8"/>
  <c r="O130" i="8"/>
  <c r="N130" i="8"/>
  <c r="O132" i="8"/>
  <c r="N132" i="8"/>
  <c r="O134" i="8"/>
  <c r="N134" i="8"/>
  <c r="O136" i="8"/>
  <c r="N136" i="8"/>
  <c r="O142" i="8"/>
  <c r="N142" i="8"/>
  <c r="O144" i="8"/>
  <c r="N144" i="8"/>
  <c r="N145" i="8" l="1"/>
  <c r="N147" i="8" s="1"/>
  <c r="O145" i="8"/>
  <c r="O147" i="8" s="1"/>
  <c r="O72" i="8"/>
  <c r="O81" i="8" s="1"/>
  <c r="N36" i="8" l="1"/>
  <c r="N40" i="8"/>
  <c r="N35" i="8" l="1"/>
  <c r="J226" i="8"/>
  <c r="H226" i="8"/>
  <c r="G226" i="8"/>
  <c r="F226" i="8"/>
  <c r="E226" i="8"/>
  <c r="D226" i="8"/>
  <c r="L226" i="8"/>
  <c r="M17" i="8"/>
  <c r="L17" i="8"/>
  <c r="K17" i="8"/>
  <c r="J17" i="8"/>
  <c r="I17" i="8"/>
  <c r="H17" i="8"/>
  <c r="G17" i="8"/>
  <c r="F17" i="8"/>
  <c r="E17" i="8"/>
  <c r="D17" i="8"/>
  <c r="O83" i="8" l="1"/>
  <c r="N83" i="8"/>
  <c r="M83" i="8"/>
  <c r="L83" i="8"/>
  <c r="K81" i="8"/>
  <c r="K83" i="8" s="1"/>
  <c r="J81" i="8"/>
  <c r="J83" i="8" s="1"/>
  <c r="I81" i="8"/>
  <c r="I83" i="8" s="1"/>
  <c r="H81" i="8"/>
  <c r="H83" i="8" s="1"/>
  <c r="G81" i="8"/>
  <c r="G83" i="8" s="1"/>
  <c r="F81" i="8"/>
  <c r="F83" i="8" s="1"/>
  <c r="E83" i="8"/>
  <c r="D83" i="8"/>
  <c r="N198" i="8"/>
  <c r="N196" i="8"/>
  <c r="N194" i="8"/>
  <c r="N167" i="8"/>
  <c r="O167" i="8"/>
  <c r="N169" i="8"/>
  <c r="O169" i="8"/>
  <c r="N170" i="8"/>
  <c r="N222" i="8" s="1"/>
  <c r="O170" i="8"/>
  <c r="O222" i="8" s="1"/>
  <c r="N172" i="8"/>
  <c r="O172" i="8"/>
  <c r="N174" i="8"/>
  <c r="O174" i="8"/>
  <c r="N176" i="8"/>
  <c r="O176" i="8"/>
  <c r="N178" i="8"/>
  <c r="O178" i="8"/>
  <c r="N180" i="8"/>
  <c r="O180" i="8"/>
  <c r="N182" i="8"/>
  <c r="O182" i="8"/>
  <c r="N184" i="8"/>
  <c r="O184" i="8"/>
  <c r="N186" i="8"/>
  <c r="O186" i="8"/>
  <c r="N188" i="8"/>
  <c r="O188" i="8"/>
  <c r="N190" i="8"/>
  <c r="O190" i="8"/>
  <c r="N192" i="8"/>
  <c r="O192" i="8"/>
  <c r="L224" i="8"/>
  <c r="J224" i="8"/>
  <c r="H224" i="8"/>
  <c r="G224" i="8"/>
  <c r="F224" i="8"/>
  <c r="E224" i="8"/>
  <c r="D224" i="8"/>
  <c r="I226" i="8"/>
  <c r="K226" i="8"/>
  <c r="F222" i="8"/>
  <c r="G222" i="8"/>
  <c r="I222" i="8"/>
  <c r="J222" i="8"/>
  <c r="L222" i="8"/>
  <c r="M222" i="8"/>
  <c r="O437" i="8"/>
  <c r="N437" i="8"/>
  <c r="O435" i="8"/>
  <c r="N435" i="8"/>
  <c r="O433" i="8"/>
  <c r="N433" i="8"/>
  <c r="O431" i="8"/>
  <c r="N431" i="8"/>
  <c r="M439" i="8"/>
  <c r="L439" i="8"/>
  <c r="K439" i="8"/>
  <c r="J439" i="8"/>
  <c r="I439" i="8"/>
  <c r="H439" i="8"/>
  <c r="G439" i="8"/>
  <c r="F439" i="8"/>
  <c r="E439" i="8"/>
  <c r="D439" i="8"/>
  <c r="O221" i="8" l="1"/>
  <c r="O219" i="8"/>
  <c r="N221" i="8"/>
  <c r="N219" i="8"/>
  <c r="I368" i="8" l="1"/>
  <c r="G368" i="8"/>
  <c r="F368" i="8"/>
  <c r="G366" i="8"/>
  <c r="J368" i="8"/>
  <c r="H368" i="8"/>
  <c r="E368" i="8"/>
  <c r="J366" i="8"/>
  <c r="I366" i="8"/>
  <c r="H366" i="8"/>
  <c r="F366" i="8"/>
  <c r="E366" i="8"/>
  <c r="D368" i="8" l="1"/>
  <c r="D366" i="8"/>
  <c r="O299" i="8"/>
  <c r="N299" i="8"/>
  <c r="O295" i="8"/>
  <c r="N295" i="8"/>
  <c r="O287" i="8"/>
  <c r="N287" i="8"/>
  <c r="M283" i="8"/>
  <c r="N267" i="8"/>
  <c r="O279" i="8"/>
  <c r="N279" i="8"/>
  <c r="O263" i="8"/>
  <c r="N263" i="8"/>
  <c r="O261" i="8"/>
  <c r="N261" i="8"/>
  <c r="N283" i="8" l="1"/>
  <c r="O283" i="8"/>
  <c r="D252" i="8"/>
  <c r="N244" i="8" l="1"/>
  <c r="M244" i="8"/>
  <c r="L244" i="8"/>
  <c r="K244" i="8"/>
  <c r="J244" i="8"/>
  <c r="I244" i="8"/>
  <c r="H244" i="8"/>
  <c r="G244" i="8"/>
  <c r="F244" i="8"/>
  <c r="E244" i="8"/>
  <c r="D244" i="8"/>
  <c r="M232" i="8"/>
  <c r="L232" i="8"/>
  <c r="K232" i="8"/>
  <c r="J232" i="8"/>
  <c r="I232" i="8"/>
  <c r="H232" i="8"/>
  <c r="G232" i="8"/>
  <c r="F232" i="8"/>
  <c r="E232" i="8"/>
  <c r="D232" i="8"/>
  <c r="M230" i="8"/>
  <c r="L230" i="8"/>
  <c r="K230" i="8"/>
  <c r="J230" i="8"/>
  <c r="I230" i="8"/>
  <c r="H230" i="8"/>
  <c r="G230" i="8"/>
  <c r="F230" i="8"/>
  <c r="E230" i="8"/>
  <c r="D230" i="8"/>
  <c r="O165" i="8" l="1"/>
  <c r="N165" i="8"/>
  <c r="O163" i="8"/>
  <c r="N163" i="8"/>
  <c r="N56" i="8"/>
  <c r="O56" i="8"/>
  <c r="D58" i="8"/>
  <c r="E58" i="8"/>
  <c r="F58" i="8"/>
  <c r="G58" i="8"/>
  <c r="H58" i="8"/>
  <c r="I58" i="8"/>
  <c r="J58" i="8"/>
  <c r="K58" i="8"/>
  <c r="L58" i="8"/>
  <c r="M58" i="8"/>
  <c r="D60" i="8"/>
  <c r="E60" i="8"/>
  <c r="F60" i="8"/>
  <c r="G60" i="8"/>
  <c r="H60" i="8"/>
  <c r="I60" i="8"/>
  <c r="J60" i="8"/>
  <c r="K60" i="8"/>
  <c r="L60" i="8"/>
  <c r="M60" i="8"/>
  <c r="L30" i="8"/>
  <c r="N60" i="8" l="1"/>
  <c r="M401" i="8"/>
  <c r="L401" i="8"/>
  <c r="K401" i="8"/>
  <c r="J401" i="8"/>
  <c r="I401" i="8"/>
  <c r="H401" i="8"/>
  <c r="G401" i="8"/>
  <c r="F401" i="8"/>
  <c r="E401" i="8"/>
  <c r="D401" i="8"/>
  <c r="O397" i="8"/>
  <c r="N397" i="8"/>
  <c r="M368" i="8" l="1"/>
  <c r="L368" i="8"/>
  <c r="K368" i="8"/>
  <c r="M366" i="8"/>
  <c r="L366" i="8"/>
  <c r="K366" i="8"/>
  <c r="M369" i="8"/>
  <c r="O346" i="8"/>
  <c r="O365" i="8" s="1"/>
  <c r="N346" i="8"/>
  <c r="N365" i="8" s="1"/>
  <c r="N265" i="8"/>
  <c r="O235" i="8" l="1"/>
  <c r="O234" i="8"/>
  <c r="O229" i="8"/>
  <c r="O244" i="8"/>
  <c r="O232" i="8" l="1"/>
  <c r="O230" i="8"/>
  <c r="M441" i="8" l="1"/>
  <c r="K441" i="8"/>
  <c r="O361" i="8" l="1"/>
  <c r="N361" i="8"/>
  <c r="O417" i="8" l="1"/>
  <c r="O415" i="8"/>
  <c r="O413" i="8"/>
  <c r="O411" i="8"/>
  <c r="O409" i="8"/>
  <c r="O407" i="8"/>
  <c r="O405" i="8"/>
  <c r="O403" i="8"/>
  <c r="O419" i="8"/>
  <c r="N417" i="8"/>
  <c r="N415" i="8"/>
  <c r="N413" i="8"/>
  <c r="N411" i="8"/>
  <c r="N409" i="8"/>
  <c r="N407" i="8"/>
  <c r="N405" i="8"/>
  <c r="N403" i="8"/>
  <c r="O359" i="8"/>
  <c r="N359" i="8"/>
  <c r="O347" i="8"/>
  <c r="N345" i="8"/>
  <c r="M43" i="8" l="1"/>
  <c r="D43" i="8"/>
  <c r="N23" i="8" l="1"/>
  <c r="O9" i="8"/>
  <c r="N9" i="8"/>
  <c r="N8" i="8"/>
  <c r="O8" i="8"/>
  <c r="M30" i="8" l="1"/>
  <c r="I30" i="8"/>
  <c r="H30" i="8"/>
  <c r="G30" i="8"/>
  <c r="F30" i="8"/>
  <c r="D30" i="8"/>
  <c r="M28" i="8"/>
  <c r="L28" i="8"/>
  <c r="K28" i="8"/>
  <c r="I28" i="8"/>
  <c r="H28" i="8"/>
  <c r="G28" i="8"/>
  <c r="F28" i="8"/>
  <c r="D28" i="8"/>
  <c r="J30" i="8"/>
  <c r="E28" i="8" l="1"/>
  <c r="E43" i="8"/>
  <c r="F43" i="8"/>
  <c r="J43" i="8"/>
  <c r="G43" i="8"/>
  <c r="I43" i="8"/>
  <c r="K43" i="8"/>
  <c r="E30" i="8"/>
  <c r="H43" i="8"/>
  <c r="L43" i="8"/>
  <c r="J28" i="8"/>
  <c r="N452" i="8"/>
  <c r="O449" i="8"/>
  <c r="N449" i="8"/>
  <c r="M227" i="8"/>
  <c r="L227" i="8"/>
  <c r="K227" i="8"/>
  <c r="J227" i="8"/>
  <c r="I227" i="8"/>
  <c r="H227" i="8"/>
  <c r="G227" i="8"/>
  <c r="F227" i="8"/>
  <c r="E227" i="8"/>
  <c r="D227" i="8"/>
  <c r="M226" i="8"/>
  <c r="M224" i="8"/>
  <c r="K224" i="8"/>
  <c r="I224" i="8"/>
  <c r="O227" i="8"/>
  <c r="N227" i="8"/>
  <c r="D147" i="8"/>
  <c r="N157" i="8"/>
  <c r="O157" i="8"/>
  <c r="G161" i="8"/>
  <c r="H161" i="8"/>
  <c r="I161" i="8"/>
  <c r="K161" i="8"/>
  <c r="M69" i="8"/>
  <c r="L69" i="8"/>
  <c r="K69" i="8"/>
  <c r="J69" i="8"/>
  <c r="I69" i="8"/>
  <c r="H69" i="8"/>
  <c r="G69" i="8"/>
  <c r="F69" i="8"/>
  <c r="E69" i="8"/>
  <c r="D69" i="8"/>
  <c r="O66" i="8"/>
  <c r="O65" i="8"/>
  <c r="O69" i="8" s="1"/>
  <c r="N66" i="8"/>
  <c r="N65" i="8"/>
  <c r="N69" i="8" s="1"/>
  <c r="N450" i="8" l="1"/>
  <c r="O450" i="8"/>
  <c r="O452" i="8"/>
  <c r="G160" i="8"/>
  <c r="D160" i="8"/>
  <c r="F160" i="8"/>
  <c r="H160" i="8"/>
  <c r="J160" i="8"/>
  <c r="L160" i="8"/>
  <c r="E160" i="8"/>
  <c r="I160" i="8"/>
  <c r="K160" i="8"/>
  <c r="M160" i="8"/>
  <c r="N347" i="8" l="1"/>
  <c r="O16" i="8" l="1"/>
  <c r="N16" i="8"/>
  <c r="O425" i="8"/>
  <c r="O423" i="8"/>
  <c r="O421" i="8"/>
  <c r="N375" i="8"/>
  <c r="M330" i="8"/>
  <c r="L330" i="8"/>
  <c r="K330" i="8"/>
  <c r="J330" i="8"/>
  <c r="I330" i="8"/>
  <c r="H330" i="8"/>
  <c r="G330" i="8"/>
  <c r="F330" i="8"/>
  <c r="E330" i="8"/>
  <c r="D330" i="8"/>
  <c r="M328" i="8"/>
  <c r="L328" i="8"/>
  <c r="K328" i="8"/>
  <c r="J328" i="8"/>
  <c r="I328" i="8"/>
  <c r="H328" i="8"/>
  <c r="G328" i="8"/>
  <c r="F328" i="8"/>
  <c r="E328" i="8"/>
  <c r="D328" i="8"/>
  <c r="M291" i="8"/>
  <c r="L291" i="8"/>
  <c r="K291" i="8"/>
  <c r="O291" i="8"/>
  <c r="N291" i="8"/>
  <c r="F291" i="8"/>
  <c r="J291" i="8"/>
  <c r="I291" i="8"/>
  <c r="H291" i="8"/>
  <c r="G291" i="8"/>
  <c r="E291" i="8"/>
  <c r="D291" i="8"/>
  <c r="M289" i="8"/>
  <c r="L289" i="8"/>
  <c r="K289" i="8"/>
  <c r="J289" i="8"/>
  <c r="I289" i="8"/>
  <c r="H289" i="8"/>
  <c r="G289" i="8"/>
  <c r="F289" i="8"/>
  <c r="E289" i="8"/>
  <c r="D289" i="8"/>
  <c r="N19" i="8" l="1"/>
  <c r="N17" i="8"/>
  <c r="O17" i="8"/>
  <c r="O19" i="8"/>
  <c r="O360" i="8"/>
  <c r="N360" i="8"/>
  <c r="O344" i="8"/>
  <c r="N344" i="8"/>
  <c r="O364" i="8" l="1"/>
  <c r="O362" i="8"/>
  <c r="O366" i="8" s="1"/>
  <c r="N364" i="8"/>
  <c r="N362" i="8"/>
  <c r="N366" i="8"/>
  <c r="M317" i="8"/>
  <c r="L317" i="8"/>
  <c r="K317" i="8"/>
  <c r="J317" i="8"/>
  <c r="I317" i="8"/>
  <c r="H317" i="8"/>
  <c r="G317" i="8"/>
  <c r="F317" i="8"/>
  <c r="E317" i="8"/>
  <c r="D317" i="8"/>
  <c r="M12" i="8"/>
  <c r="O33" i="8" l="1"/>
  <c r="N33" i="8" l="1"/>
  <c r="M53" i="8" l="1"/>
  <c r="L53" i="8"/>
  <c r="K53" i="8"/>
  <c r="J53" i="8"/>
  <c r="I53" i="8"/>
  <c r="H53" i="8"/>
  <c r="G53" i="8"/>
  <c r="F53" i="8"/>
  <c r="E53" i="8"/>
  <c r="D53" i="8"/>
  <c r="N425" i="8" l="1"/>
  <c r="O369" i="8" l="1"/>
  <c r="N369" i="8"/>
  <c r="O441" i="8" l="1"/>
  <c r="O439" i="8"/>
  <c r="N429" i="8"/>
  <c r="N427" i="8"/>
  <c r="N423" i="8"/>
  <c r="N421" i="8"/>
  <c r="N419" i="8"/>
  <c r="M399" i="8"/>
  <c r="L399" i="8"/>
  <c r="K399" i="8"/>
  <c r="J399" i="8"/>
  <c r="I399" i="8"/>
  <c r="H399" i="8"/>
  <c r="G399" i="8"/>
  <c r="F399" i="8"/>
  <c r="E399" i="8"/>
  <c r="D399" i="8"/>
  <c r="O394" i="8"/>
  <c r="N394" i="8"/>
  <c r="O392" i="8"/>
  <c r="N392" i="8"/>
  <c r="O371" i="8"/>
  <c r="N441" i="8" l="1"/>
  <c r="N439" i="8"/>
  <c r="M335" i="8"/>
  <c r="L335" i="8"/>
  <c r="K335" i="8"/>
  <c r="J335" i="8"/>
  <c r="I335" i="8"/>
  <c r="H335" i="8"/>
  <c r="G335" i="8"/>
  <c r="F335" i="8"/>
  <c r="E335" i="8"/>
  <c r="E339" i="8" s="1"/>
  <c r="D335" i="8"/>
  <c r="D339" i="8" s="1"/>
  <c r="M333" i="8"/>
  <c r="L333" i="8"/>
  <c r="K333" i="8"/>
  <c r="J333" i="8"/>
  <c r="I333" i="8"/>
  <c r="H333" i="8"/>
  <c r="G333" i="8"/>
  <c r="F333" i="8"/>
  <c r="E333" i="8"/>
  <c r="D333" i="8"/>
  <c r="M311" i="8"/>
  <c r="L311" i="8"/>
  <c r="K311" i="8"/>
  <c r="J311" i="8"/>
  <c r="I311" i="8"/>
  <c r="H311" i="8"/>
  <c r="G311" i="8"/>
  <c r="F311" i="8"/>
  <c r="E311" i="8"/>
  <c r="D311" i="8"/>
  <c r="M309" i="8"/>
  <c r="L309" i="8"/>
  <c r="K309" i="8"/>
  <c r="J309" i="8"/>
  <c r="I309" i="8"/>
  <c r="H309" i="8"/>
  <c r="G309" i="8"/>
  <c r="F309" i="8"/>
  <c r="E309" i="8"/>
  <c r="D309" i="8"/>
  <c r="M303" i="8"/>
  <c r="L303" i="8"/>
  <c r="K303" i="8"/>
  <c r="J303" i="8"/>
  <c r="I303" i="8"/>
  <c r="H303" i="8"/>
  <c r="G303" i="8"/>
  <c r="F303" i="8"/>
  <c r="E303" i="8"/>
  <c r="D303" i="8"/>
  <c r="M301" i="8"/>
  <c r="L301" i="8"/>
  <c r="K301" i="8"/>
  <c r="J301" i="8"/>
  <c r="I301" i="8"/>
  <c r="H301" i="8"/>
  <c r="G301" i="8"/>
  <c r="F301" i="8"/>
  <c r="E301" i="8"/>
  <c r="D301" i="8"/>
  <c r="N285" i="8"/>
  <c r="N289" i="8" s="1"/>
  <c r="O317" i="8"/>
  <c r="N301" i="8" l="1"/>
  <c r="L316" i="8"/>
  <c r="I316" i="8"/>
  <c r="K316" i="8"/>
  <c r="M316" i="8"/>
  <c r="K314" i="8"/>
  <c r="I314" i="8"/>
  <c r="L314" i="8"/>
  <c r="E314" i="8"/>
  <c r="N317" i="8"/>
  <c r="M254" i="8" l="1"/>
  <c r="L254" i="8"/>
  <c r="K254" i="8"/>
  <c r="J254" i="8"/>
  <c r="I254" i="8"/>
  <c r="H254" i="8"/>
  <c r="G254" i="8"/>
  <c r="F254" i="8"/>
  <c r="E254" i="8"/>
  <c r="D254" i="8"/>
  <c r="M252" i="8"/>
  <c r="L252" i="8"/>
  <c r="J252" i="8"/>
  <c r="I252" i="8"/>
  <c r="H252" i="8"/>
  <c r="G252" i="8"/>
  <c r="F252" i="8"/>
  <c r="E252" i="8"/>
  <c r="M249" i="8"/>
  <c r="L249" i="8"/>
  <c r="K249" i="8"/>
  <c r="J249" i="8"/>
  <c r="I249" i="8"/>
  <c r="H249" i="8"/>
  <c r="G249" i="8"/>
  <c r="F249" i="8"/>
  <c r="E249" i="8"/>
  <c r="D249" i="8"/>
  <c r="M247" i="8"/>
  <c r="L247" i="8"/>
  <c r="K247" i="8"/>
  <c r="J247" i="8"/>
  <c r="I247" i="8"/>
  <c r="H247" i="8"/>
  <c r="G247" i="8"/>
  <c r="F247" i="8"/>
  <c r="E247" i="8"/>
  <c r="D247" i="8"/>
  <c r="L236" i="8"/>
  <c r="L241" i="8" s="1"/>
  <c r="G236" i="8"/>
  <c r="G241" i="8" s="1"/>
  <c r="F236" i="8"/>
  <c r="F241" i="8" s="1"/>
  <c r="E236" i="8"/>
  <c r="E241" i="8" s="1"/>
  <c r="D236" i="8"/>
  <c r="D241" i="8" s="1"/>
  <c r="D238" i="8" l="1"/>
  <c r="D243" i="8" s="1"/>
  <c r="E238" i="8"/>
  <c r="E243" i="8" s="1"/>
  <c r="G238" i="8"/>
  <c r="G243" i="8" s="1"/>
  <c r="F238" i="8"/>
  <c r="F243" i="8" s="1"/>
  <c r="L238" i="8"/>
  <c r="L243" i="8" s="1"/>
  <c r="O223" i="8" l="1"/>
  <c r="O226" i="8" s="1"/>
  <c r="N223" i="8"/>
  <c r="N224" i="8" l="1"/>
  <c r="N226" i="8"/>
  <c r="O224" i="8"/>
  <c r="N382" i="8" l="1"/>
  <c r="M67" i="8" l="1"/>
  <c r="M158" i="8" s="1"/>
  <c r="L67" i="8"/>
  <c r="L158" i="8" s="1"/>
  <c r="I67" i="8"/>
  <c r="I158" i="8" s="1"/>
  <c r="M314" i="8" l="1"/>
  <c r="O375" i="8" l="1"/>
  <c r="O373" i="8"/>
  <c r="O372" i="8"/>
  <c r="O379" i="8" s="1"/>
  <c r="O446" i="8" s="1"/>
  <c r="O378" i="8" l="1"/>
  <c r="O376" i="8"/>
  <c r="O45" i="8"/>
  <c r="N45" i="8"/>
  <c r="N46" i="8" s="1"/>
  <c r="O41" i="8"/>
  <c r="O39" i="8"/>
  <c r="O35" i="8"/>
  <c r="O34" i="8"/>
  <c r="O32" i="8"/>
  <c r="N41" i="8"/>
  <c r="N39" i="8"/>
  <c r="N34" i="8"/>
  <c r="N44" i="8" s="1"/>
  <c r="O27" i="8"/>
  <c r="O26" i="8"/>
  <c r="O25" i="8"/>
  <c r="N27" i="8"/>
  <c r="N26" i="8"/>
  <c r="O24" i="8"/>
  <c r="N24" i="8"/>
  <c r="O22" i="8"/>
  <c r="N22" i="8"/>
  <c r="O44" i="8" l="1"/>
  <c r="O53" i="8" s="1"/>
  <c r="O28" i="8"/>
  <c r="N53" i="8"/>
  <c r="N25" i="8"/>
  <c r="N28" i="8" s="1"/>
  <c r="N32" i="8"/>
  <c r="O327" i="8" l="1"/>
  <c r="O326" i="8"/>
  <c r="N327" i="8"/>
  <c r="N326" i="8"/>
  <c r="O332" i="8"/>
  <c r="O333" i="8" s="1"/>
  <c r="N332" i="8"/>
  <c r="N333" i="8" s="1"/>
  <c r="O321" i="8"/>
  <c r="O325" i="8" s="1"/>
  <c r="O340" i="8" s="1"/>
  <c r="N321" i="8"/>
  <c r="N325" i="8" s="1"/>
  <c r="N340" i="8" s="1"/>
  <c r="O319" i="8"/>
  <c r="O324" i="8" s="1"/>
  <c r="N319" i="8"/>
  <c r="N324" i="8" s="1"/>
  <c r="N322" i="8" l="1"/>
  <c r="O322" i="8"/>
  <c r="O330" i="8"/>
  <c r="N328" i="8"/>
  <c r="O328" i="8"/>
  <c r="O313" i="8"/>
  <c r="N313" i="8"/>
  <c r="O311" i="8"/>
  <c r="N307" i="8"/>
  <c r="O307" i="8"/>
  <c r="O305" i="8"/>
  <c r="O309" i="8" s="1"/>
  <c r="N305" i="8"/>
  <c r="N309" i="8" s="1"/>
  <c r="O297" i="8"/>
  <c r="N297" i="8"/>
  <c r="O293" i="8"/>
  <c r="N293" i="8"/>
  <c r="N337" i="8" l="1"/>
  <c r="O301" i="8"/>
  <c r="N303" i="8"/>
  <c r="O303" i="8"/>
  <c r="O337" i="8"/>
  <c r="N311" i="8"/>
  <c r="O246" i="8"/>
  <c r="N246" i="8"/>
  <c r="N247" i="8" l="1"/>
  <c r="N249" i="8"/>
  <c r="O247" i="8"/>
  <c r="O249" i="8"/>
  <c r="O251" i="8"/>
  <c r="N251" i="8"/>
  <c r="O254" i="8" l="1"/>
  <c r="O258" i="8" s="1"/>
  <c r="O252" i="8"/>
  <c r="O256" i="8" s="1"/>
  <c r="N254" i="8"/>
  <c r="N258" i="8" s="1"/>
  <c r="N252" i="8"/>
  <c r="N256" i="8" s="1"/>
  <c r="O160" i="8"/>
  <c r="N160" i="8"/>
  <c r="M70" i="8"/>
  <c r="M161" i="8" s="1"/>
  <c r="L70" i="8"/>
  <c r="L161" i="8" s="1"/>
  <c r="K70" i="8"/>
  <c r="K67" i="8" s="1"/>
  <c r="K158" i="8" s="1"/>
  <c r="J70" i="8"/>
  <c r="I70" i="8"/>
  <c r="H70" i="8"/>
  <c r="H67" i="8" s="1"/>
  <c r="H158" i="8" s="1"/>
  <c r="G70" i="8"/>
  <c r="G67" i="8" s="1"/>
  <c r="G158" i="8" s="1"/>
  <c r="F70" i="8"/>
  <c r="E70" i="8"/>
  <c r="D70" i="8"/>
  <c r="N70" i="8"/>
  <c r="O70" i="8"/>
  <c r="O63" i="8"/>
  <c r="N63" i="8"/>
  <c r="F67" i="8" l="1"/>
  <c r="F158" i="8" s="1"/>
  <c r="F161" i="8"/>
  <c r="E67" i="8"/>
  <c r="E158" i="8" s="1"/>
  <c r="E161" i="8"/>
  <c r="D161" i="8"/>
  <c r="D67" i="8"/>
  <c r="D158" i="8" s="1"/>
  <c r="J67" i="8"/>
  <c r="J158" i="8" s="1"/>
  <c r="J161" i="8"/>
  <c r="N161" i="8" s="1"/>
  <c r="O161" i="8"/>
  <c r="O475" i="8" s="1"/>
  <c r="O67" i="8"/>
  <c r="O158" i="8" s="1"/>
  <c r="N67" i="8"/>
  <c r="N158" i="8" s="1"/>
  <c r="N57" i="8"/>
  <c r="O57" i="8"/>
  <c r="O55" i="8"/>
  <c r="N55" i="8"/>
  <c r="N58" i="8" l="1"/>
  <c r="O58" i="8"/>
  <c r="O60" i="8"/>
  <c r="N398" i="8" l="1"/>
  <c r="O398" i="8"/>
  <c r="O396" i="8"/>
  <c r="N396" i="8"/>
  <c r="O390" i="8"/>
  <c r="N390" i="8"/>
  <c r="O388" i="8"/>
  <c r="N388" i="8"/>
  <c r="O386" i="8"/>
  <c r="N386" i="8"/>
  <c r="O384" i="8"/>
  <c r="N384" i="8"/>
  <c r="O382" i="8"/>
  <c r="O380" i="8"/>
  <c r="N380" i="8"/>
  <c r="N371" i="8"/>
  <c r="N372" i="8"/>
  <c r="N379" i="8" s="1"/>
  <c r="N446" i="8" s="1"/>
  <c r="N475" i="8" s="1"/>
  <c r="N373" i="8"/>
  <c r="N378" i="8" l="1"/>
  <c r="N376" i="8"/>
  <c r="O401" i="8"/>
  <c r="N401" i="8"/>
  <c r="O399" i="8"/>
  <c r="N399" i="8"/>
  <c r="O240" i="8" l="1"/>
  <c r="N240" i="8"/>
  <c r="N235" i="8"/>
  <c r="N234" i="8"/>
  <c r="N229" i="8"/>
  <c r="N232" i="8" l="1"/>
  <c r="N230" i="8"/>
  <c r="N236" i="8"/>
  <c r="O236" i="8"/>
  <c r="O238" i="8" s="1"/>
  <c r="O243" i="8" s="1"/>
  <c r="N241" i="8" l="1"/>
  <c r="O241" i="8"/>
  <c r="N238" i="8"/>
  <c r="N243" i="8" s="1"/>
  <c r="N443" i="8"/>
  <c r="O285" i="8"/>
  <c r="O289" i="8" s="1"/>
  <c r="N10" i="8" l="1"/>
  <c r="O10" i="8" l="1"/>
  <c r="O335" i="8"/>
  <c r="O339" i="8" s="1"/>
  <c r="N335" i="8"/>
  <c r="M10" i="8"/>
  <c r="L12" i="8" l="1"/>
  <c r="K12" i="8"/>
  <c r="J12" i="8"/>
  <c r="I12" i="8"/>
  <c r="H12" i="8"/>
  <c r="G12" i="8"/>
  <c r="F12" i="8"/>
  <c r="E12" i="8"/>
  <c r="D12" i="8"/>
  <c r="G10" i="8"/>
  <c r="F10" i="8"/>
  <c r="M443" i="8"/>
  <c r="M379" i="8"/>
  <c r="M446" i="8" s="1"/>
  <c r="L379" i="8"/>
  <c r="L446" i="8" s="1"/>
  <c r="K379" i="8"/>
  <c r="K446" i="8" s="1"/>
  <c r="J379" i="8"/>
  <c r="J446" i="8" s="1"/>
  <c r="I379" i="8"/>
  <c r="I446" i="8" s="1"/>
  <c r="H379" i="8"/>
  <c r="H446" i="8" s="1"/>
  <c r="G379" i="8"/>
  <c r="G446" i="8" s="1"/>
  <c r="F379" i="8"/>
  <c r="F446" i="8" s="1"/>
  <c r="E379" i="8"/>
  <c r="E446" i="8" s="1"/>
  <c r="D379" i="8"/>
  <c r="D446" i="8" s="1"/>
  <c r="L369" i="8"/>
  <c r="K369" i="8"/>
  <c r="J369" i="8"/>
  <c r="I369" i="8"/>
  <c r="H369" i="8"/>
  <c r="G369" i="8"/>
  <c r="F369" i="8"/>
  <c r="E369" i="8"/>
  <c r="D369" i="8"/>
  <c r="N330" i="8"/>
  <c r="M259" i="8"/>
  <c r="L259" i="8"/>
  <c r="K259" i="8"/>
  <c r="J259" i="8"/>
  <c r="I259" i="8"/>
  <c r="H259" i="8"/>
  <c r="G259" i="8"/>
  <c r="F259" i="8"/>
  <c r="E259" i="8"/>
  <c r="D259" i="8"/>
  <c r="M236" i="8"/>
  <c r="M241" i="8" s="1"/>
  <c r="K236" i="8"/>
  <c r="K241" i="8" s="1"/>
  <c r="J236" i="8"/>
  <c r="J241" i="8" s="1"/>
  <c r="I236" i="8"/>
  <c r="I241" i="8" s="1"/>
  <c r="H236" i="8"/>
  <c r="H241" i="8" s="1"/>
  <c r="M46" i="8"/>
  <c r="L46" i="8"/>
  <c r="K46" i="8"/>
  <c r="J46" i="8"/>
  <c r="H46" i="8"/>
  <c r="G46" i="8"/>
  <c r="F46" i="8"/>
  <c r="D46" i="8"/>
  <c r="E46" i="8"/>
  <c r="I19" i="8"/>
  <c r="H19" i="8"/>
  <c r="E19" i="8"/>
  <c r="L10" i="8"/>
  <c r="K10" i="8"/>
  <c r="J10" i="8"/>
  <c r="I10" i="8"/>
  <c r="H10" i="8"/>
  <c r="E10" i="8"/>
  <c r="D10" i="8"/>
  <c r="O46" i="8" l="1"/>
  <c r="F475" i="8"/>
  <c r="H475" i="8"/>
  <c r="L475" i="8"/>
  <c r="G475" i="8"/>
  <c r="I475" i="8"/>
  <c r="M475" i="8"/>
  <c r="D19" i="8"/>
  <c r="F19" i="8"/>
  <c r="J19" i="8"/>
  <c r="L19" i="8"/>
  <c r="G19" i="8"/>
  <c r="K19" i="8"/>
  <c r="M19" i="8"/>
  <c r="M50" i="8"/>
  <c r="N12" i="8"/>
  <c r="I48" i="8"/>
  <c r="I52" i="8" s="1"/>
  <c r="K48" i="8"/>
  <c r="K52" i="8" s="1"/>
  <c r="M48" i="8"/>
  <c r="M52" i="8" s="1"/>
  <c r="I238" i="8"/>
  <c r="I243" i="8" s="1"/>
  <c r="K238" i="8"/>
  <c r="K243" i="8" s="1"/>
  <c r="H238" i="8"/>
  <c r="H243" i="8" s="1"/>
  <c r="J238" i="8"/>
  <c r="J243" i="8" s="1"/>
  <c r="M238" i="8"/>
  <c r="M243" i="8" s="1"/>
  <c r="K475" i="8"/>
  <c r="N30" i="8"/>
  <c r="O30" i="8"/>
  <c r="O12" i="8"/>
  <c r="G48" i="8"/>
  <c r="G52" i="8" s="1"/>
  <c r="D475" i="8"/>
  <c r="J475" i="8"/>
  <c r="E443" i="8"/>
  <c r="J443" i="8"/>
  <c r="E475" i="8"/>
  <c r="E256" i="8"/>
  <c r="G256" i="8"/>
  <c r="I256" i="8"/>
  <c r="K256" i="8"/>
  <c r="M256" i="8"/>
  <c r="E258" i="8"/>
  <c r="G258" i="8"/>
  <c r="I258" i="8"/>
  <c r="K258" i="8"/>
  <c r="M258" i="8"/>
  <c r="E337" i="8"/>
  <c r="G337" i="8"/>
  <c r="I337" i="8"/>
  <c r="K337" i="8"/>
  <c r="M337" i="8"/>
  <c r="G339" i="8"/>
  <c r="I339" i="8"/>
  <c r="K339" i="8"/>
  <c r="M339" i="8"/>
  <c r="D445" i="8"/>
  <c r="F445" i="8"/>
  <c r="L445" i="8"/>
  <c r="G445" i="8"/>
  <c r="K445" i="8"/>
  <c r="D256" i="8"/>
  <c r="F256" i="8"/>
  <c r="H256" i="8"/>
  <c r="J256" i="8"/>
  <c r="L256" i="8"/>
  <c r="D258" i="8"/>
  <c r="F258" i="8"/>
  <c r="H258" i="8"/>
  <c r="J258" i="8"/>
  <c r="L258" i="8"/>
  <c r="D337" i="8"/>
  <c r="F337" i="8"/>
  <c r="H337" i="8"/>
  <c r="J337" i="8"/>
  <c r="L337" i="8"/>
  <c r="F339" i="8"/>
  <c r="H339" i="8"/>
  <c r="J339" i="8"/>
  <c r="L339" i="8"/>
  <c r="D443" i="8"/>
  <c r="E445" i="8"/>
  <c r="M445" i="8"/>
  <c r="K443" i="8"/>
  <c r="H445" i="8"/>
  <c r="J445" i="8"/>
  <c r="E48" i="8"/>
  <c r="E52" i="8" s="1"/>
  <c r="G443" i="8"/>
  <c r="F443" i="8"/>
  <c r="H443" i="8"/>
  <c r="L443" i="8"/>
  <c r="D48" i="8"/>
  <c r="D52" i="8" s="1"/>
  <c r="F48" i="8"/>
  <c r="F52" i="8" s="1"/>
  <c r="H48" i="8"/>
  <c r="H52" i="8" s="1"/>
  <c r="J48" i="8"/>
  <c r="J52" i="8" s="1"/>
  <c r="L48" i="8"/>
  <c r="L52" i="8" s="1"/>
  <c r="M472" i="8" l="1"/>
  <c r="M474" i="8"/>
  <c r="K474" i="8"/>
  <c r="L474" i="8"/>
  <c r="O368" i="8"/>
  <c r="N445" i="8"/>
  <c r="N368" i="8"/>
  <c r="O48" i="8"/>
  <c r="N48" i="8"/>
  <c r="N339" i="8"/>
  <c r="O443" i="8" l="1"/>
  <c r="I445" i="8"/>
  <c r="I474" i="8" s="1"/>
  <c r="I443" i="8"/>
  <c r="O445" i="8" l="1"/>
  <c r="D314" i="8"/>
  <c r="E316" i="8" l="1"/>
  <c r="E474" i="8" s="1"/>
  <c r="O38" i="8"/>
  <c r="O42" i="8" s="1"/>
  <c r="O50" i="8" s="1"/>
  <c r="N38" i="8"/>
  <c r="N42" i="8" s="1"/>
  <c r="N50" i="8" l="1"/>
  <c r="N43" i="8"/>
  <c r="O43" i="8"/>
  <c r="O52" i="8" s="1"/>
  <c r="D316" i="8"/>
  <c r="D474" i="8" s="1"/>
  <c r="E50" i="8"/>
  <c r="E472" i="8" s="1"/>
  <c r="D50" i="8"/>
  <c r="D472" i="8" s="1"/>
  <c r="J50" i="8"/>
  <c r="L50" i="8"/>
  <c r="L472" i="8" s="1"/>
  <c r="F50" i="8"/>
  <c r="G50" i="8"/>
  <c r="I50" i="8"/>
  <c r="I472" i="8" s="1"/>
  <c r="K50" i="8"/>
  <c r="K472" i="8" s="1"/>
  <c r="H50" i="8"/>
  <c r="N52" i="8"/>
  <c r="J314" i="8"/>
  <c r="J316" i="8"/>
  <c r="J474" i="8" s="1"/>
  <c r="H314" i="8"/>
  <c r="H316" i="8"/>
  <c r="H474" i="8" s="1"/>
  <c r="G316" i="8"/>
  <c r="G474" i="8" s="1"/>
  <c r="G314" i="8"/>
  <c r="N277" i="8"/>
  <c r="N281" i="8" s="1"/>
  <c r="F316" i="8"/>
  <c r="F474" i="8" s="1"/>
  <c r="N314" i="8" l="1"/>
  <c r="N472" i="8" s="1"/>
  <c r="N316" i="8"/>
  <c r="N474" i="8" s="1"/>
  <c r="O316" i="8"/>
  <c r="O474" i="8" s="1"/>
  <c r="H472" i="8"/>
  <c r="J472" i="8"/>
  <c r="G472" i="8"/>
  <c r="F314" i="8"/>
  <c r="F472" i="8" s="1"/>
  <c r="O277" i="8"/>
  <c r="O281" i="8" s="1"/>
  <c r="O314" i="8" l="1"/>
  <c r="O472" i="8" s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<sst xmlns="http://schemas.openxmlformats.org/spreadsheetml/2006/main" count="530" uniqueCount="218">
  <si>
    <t>План</t>
  </si>
  <si>
    <t>Факт</t>
  </si>
  <si>
    <t>Итого по программе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</si>
  <si>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</si>
  <si>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</si>
  <si>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</si>
  <si>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</si>
  <si>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</si>
  <si>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</si>
  <si>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</si>
  <si>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</si>
  <si>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</si>
  <si>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</si>
  <si>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</si>
  <si>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</si>
  <si>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</si>
  <si>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</si>
  <si>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</si>
  <si>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</si>
  <si>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</si>
  <si>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</si>
  <si>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</si>
  <si>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Муниципальная программа "Развитие жилищно-коммунального хозяйства"</t>
  </si>
  <si>
    <t>Благоустройство города Туапсе</t>
  </si>
  <si>
    <t>Муниципальная программа "Социально-экономическое развитие города Туапсе"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</si>
  <si>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</si>
  <si>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</si>
  <si>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</si>
  <si>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</si>
  <si>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</si>
  <si>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</si>
  <si>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</si>
  <si>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</si>
  <si>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</si>
  <si>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</si>
  <si>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</si>
  <si>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</si>
  <si>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</si>
  <si>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</si>
  <si>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</si>
  <si>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</si>
  <si>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</si>
  <si>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</si>
  <si>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</si>
  <si>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Физическая культура и спорт (организация и проведение спортивно-массовых мероприятий)</t>
  </si>
  <si>
    <t>Зимнее содержание дорог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</si>
  <si>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</si>
  <si>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Расходы на содержание МКУ «Центр по обеспечению деятельности органов местного самоуправления»</t>
  </si>
  <si>
    <t>всего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</si>
  <si>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</si>
  <si>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</si>
  <si>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</si>
  <si>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Формирование резерва бюджетных средств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</si>
  <si>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</si>
  <si>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</si>
  <si>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</si>
  <si>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</si>
  <si>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</si>
  <si>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</si>
  <si>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</si>
  <si>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</si>
  <si>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</si>
  <si>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</si>
  <si>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Расходы на обеспечение функций отдела имущественных и земельных отношений</t>
  </si>
  <si>
    <t>Мероприятия,направленные на увеличение доходной части бюджета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</si>
  <si>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</si>
  <si>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</si>
  <si>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Основное мероприятие "Обеспечение безопасности людей на водных объектах"</t>
  </si>
  <si>
    <t>Приобритение национальных экспонатов для организации (обновления) постоянно действующих экспозиций (выставок) в историко-краеведческом музее им. Полетаева по тематике истории, культуры народов города Туапсе</t>
  </si>
  <si>
    <t xml:space="preserve">Приобритение книг (журналов) для обновления постоянно действующих выставки на базе Центральной библиотечной ситсемы по тематике и культуры народов </t>
  </si>
  <si>
    <t>итого по подпрограмме</t>
  </si>
  <si>
    <t>в том числе местный бюджет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</si>
  <si>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</si>
  <si>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</si>
  <si>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</si>
  <si>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</si>
  <si>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</si>
  <si>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t>Отдельные мероприятия программы</t>
  </si>
  <si>
    <t>Реализация мероприятий муниципальной программы «Информационное общество города Туапсе»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</si>
  <si>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</si>
  <si>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</si>
  <si>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Расходы на обеспечение деятельности (оказание услуг) муниципальных учреждений по передаваемым полномочиям (на обеспечение безопасности людей на водных объектах, охране их жизни и здоровья)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</si>
  <si>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</si>
  <si>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</si>
  <si>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</si>
  <si>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</t>
  </si>
  <si>
    <t>Газопроводы высокого давления</t>
  </si>
  <si>
    <t>Распределительные газопроводы среднего давления</t>
  </si>
  <si>
    <t>Мероприятия по пожарной безопасности</t>
  </si>
  <si>
    <t>Наименование федеральной (государственной) программы</t>
  </si>
  <si>
    <t>Предоставление молодым семьям, в том числе с ребенком(детьми) и молодым семьям при рождении (усыновлении) ребенка, социальных выплат на приобретение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 по этим жилищным кредитам или займам на условиях софинансирования из федерального и краевого бюджетов</t>
  </si>
  <si>
    <t xml:space="preserve">Улучшение жилищных условий населения города Туапсе»
 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</si>
  <si>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</si>
  <si>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 xml:space="preserve">Капитальный ремонт муниципальных жилых помещений                                                         </t>
  </si>
  <si>
    <t xml:space="preserve">Внесение платы за содержание общего имущества многоквартирного дома и коммунальные услуги за незаселенные жилые и нежилые помещения муниципального жилищного фонда  </t>
  </si>
  <si>
    <t>Оплата за электроснабжение уличного освещения города</t>
  </si>
  <si>
    <t>Выполнение работ по ремонту, регулировке, наладке систем управления уличным освещением, эксплуатации, техническому обслуживанию сетей уличного освещения</t>
  </si>
  <si>
    <t>Содержание фонтанов.</t>
  </si>
  <si>
    <t>Водоснабжение фонтанов и автоматический полив газонов</t>
  </si>
  <si>
    <t>Химическая и механическая обработка зеленых насаждений от карантинных вредителей и лечение зеленых насаждений (деревьев)</t>
  </si>
  <si>
    <t>Посадка деревьев, в том числе за счет компенсационного озеленения при уничтожении зеленых насаждений</t>
  </si>
  <si>
    <t xml:space="preserve">Валка, обрезка аварийных деревьев </t>
  </si>
  <si>
    <t>Сбор отходов не относящихся к ТКО (бесхозные отработанные шины на территории города Туапсе, их обезвреживание и размещение)</t>
  </si>
  <si>
    <t>Сбор отходов не относящихся к ТКО (древесные остатки и строительного мусора)</t>
  </si>
  <si>
    <t>Осуществление деятельности по обращению с животными без владельцев, обитающих на территории общего пользования, находящихся в муниципальной собственности ТГП, утилизация био. отходов.</t>
  </si>
  <si>
    <t>Приобретение лавочек и урн для благоустройства города</t>
  </si>
  <si>
    <t>Содержание и развитие коммунального хозяйства города Туапсе</t>
  </si>
  <si>
    <t xml:space="preserve">Капитальный ремонт, ремонт автомобильных дорог общего пользования местного значения,  (в целях реализации мероприятий подпрограммы 
«Строительство и реконструкция, капитальный ремонт и ремонт автомобильных дорог общего пользования 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края»)                                                                 
</t>
  </si>
  <si>
    <t xml:space="preserve">Текущий ремонт дорог </t>
  </si>
  <si>
    <t>Ремонт ливневой канализации</t>
  </si>
  <si>
    <t>Текущий ремонт и замена существующих светофорных объектов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</si>
  <si>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</si>
  <si>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прочие работы)</t>
  </si>
  <si>
    <t>Внесение изменений в проект организации дорожного движения города Туапсе</t>
  </si>
  <si>
    <t xml:space="preserve"> Подпрограмма «Строительство, реконструкция, капитальный ремонт, ремонт и содержание автомобильных дорог города Туапсе»  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</si>
  <si>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</si>
  <si>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прочие учреждения, в том числе:</t>
  </si>
  <si>
    <t>Развитие культуры Краснодарского края</t>
  </si>
  <si>
    <t>Распределительные газопроводы среднего и низкого давления по микрорайонам</t>
  </si>
  <si>
    <t>Проектно-изыскательские работы по объекту: "Многофункциональный спортивный комплекс "ТУАПСЕ" по ул.Калараша в г.Туапсе"</t>
  </si>
  <si>
    <t>Государственная программа Краснодарского края "Развитие топливно-энергетического комплекса"</t>
  </si>
  <si>
    <t>Государственная программа Краснодарского края "Развитие жилищно-коммунального хозяйства"</t>
  </si>
  <si>
    <t>Государственная программа Краснодарского края "Развитие сети автомобильных дорог Краснодарского края"</t>
  </si>
  <si>
    <t>Реализация мероприятий муниципальной программы "Молодежь города Туапсе"</t>
  </si>
  <si>
    <t>Ремонт уличного освещения</t>
  </si>
  <si>
    <t>Ликвидация стихийных свалок</t>
  </si>
  <si>
    <t>Ремонт тротуара по ул. Горького</t>
  </si>
  <si>
    <t>Проектно-сметная документация (ремонт), заключение экспертов</t>
  </si>
  <si>
    <t>Комплексная схема организации дорожного движения</t>
  </si>
  <si>
    <t>Подводящий газопровод среднего давления в г.Туапсе по ул. Судоремонтников до ГГРП 6 с установкой ГРП</t>
  </si>
  <si>
    <t>Распределительный газопровод низкого давления от ГРП пер. Тихий в  г. Туапсе</t>
  </si>
  <si>
    <t>Организация внешнего финансового контроля за правомерным и целевым использованием бюджетных средств</t>
  </si>
  <si>
    <t>Выплата процентов по кредитам</t>
  </si>
  <si>
    <t>Формирование расходов на исполнение судебных актов по решениям судебных органов</t>
  </si>
  <si>
    <t>в том числе за счет средств местного бюджета</t>
  </si>
  <si>
    <t>Подготовка градостроительной и землеустроительной документации на территории города Туапсе</t>
  </si>
  <si>
    <t>Проведение комплекса мероприятий, направленных на рациональное территориальное планирование, землеустройство и землепользование</t>
  </si>
  <si>
    <t>Финансовый резерв на предупреждение и ликвидацию ЧС на территории города Туапсе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</si>
  <si>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</si>
  <si>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Распределительный газопровод низкого давления по ул. Тимирязева в г. Туапсе</t>
  </si>
  <si>
    <t>Оценка недвижимости, признание прав и регулирование отношений по муниципальной собственности</t>
  </si>
  <si>
    <t>Формирование (увеличение) уставных фондов муниципальных унитарных предприятий</t>
  </si>
  <si>
    <t>Проведение технической инвентаризации (изготовление технических и кадастровых паспортов, технических и межевых планов,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недвижимости) объектов недвижимого имущества, в том числе земельных участков, входящих в состав муниципальной казны, и объектов, принимаемых в состав имущества муниципальной казны</t>
  </si>
  <si>
    <t>Проведение текущего ремонта и разработка проектно-сметной документации на проведение работ по ремонту, сносу, демонтажу зданий, строений, сооружений, а так же помещений (жилых и нежилых), входящих в состав муниципальной казны</t>
  </si>
  <si>
    <t>Оплата за коммунальные услуги за незаселенные муниципальные нежилые помещения</t>
  </si>
  <si>
    <t>Оплата работ (услуг), а также налогов (государственных пошлин), связанных с владением, пользованием и распоряжением транспортными средствами, входящими (принимаемыми) в состав муниципальной казны</t>
  </si>
  <si>
    <t>Проведение обзорной проверки бухгалтерской (финансовой) отчетности МУП "Стройзаказчик"</t>
  </si>
  <si>
    <t>Субсидия на выполнение муниципального задания МБУ "Управление земельных ресурсов"</t>
  </si>
  <si>
    <t>,</t>
  </si>
  <si>
    <t>Паспортизация дорог общего пользования местного значения</t>
  </si>
  <si>
    <t>Создание системы маршрутного ориентирования участников дорожного движения (компо-сигналы)</t>
  </si>
  <si>
    <t>Ремонт уличного освещения (энергосервисный контракт)</t>
  </si>
  <si>
    <t>Ремонт фонтанов</t>
  </si>
  <si>
    <t>Обслуживание систем автоматического полива</t>
  </si>
  <si>
    <t>Благоустройство городского кладбища по        ул. Калараша</t>
  </si>
  <si>
    <t>Содержание городского кладбища по                      ул. Калараша</t>
  </si>
  <si>
    <t>Содержание городского кладбища по                  ул. Бондаренко</t>
  </si>
  <si>
    <t>Инвентаризация городского кладбища ул. Калараша</t>
  </si>
  <si>
    <t>Установка, ремонт и содержание уличного коммунально-бытового оборудования, контейнерных площадок</t>
  </si>
  <si>
    <t>Приобретение специализированной техники (контейнеры)</t>
  </si>
  <si>
    <t>Приобретение аншлагов</t>
  </si>
  <si>
    <t>Содержание и развитие жилищного хозяйства города Туапсе</t>
  </si>
  <si>
    <t>Выполнение капитального ремонта внутриквартирных инженерных систем электроснабжения, холодного и горячего водоснабжения, тепломнабжения, газового оборудования в муниципальных жилых помещениях, с приведением их в соответствие с требованиями федерального законодательства об энергосбережении</t>
  </si>
  <si>
    <r>
      <t xml:space="preserve">предоставление субсидий учреждениям культуры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</si>
  <si>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</si>
  <si>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Times New Roman"/>
        <family val="1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</si>
  <si>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Times New Roman"/>
        <family val="1"/>
        <charset val="204"/>
      </rPr>
      <t>федеральный бюджет</t>
    </r>
  </si>
  <si>
    <r>
      <t xml:space="preserve">обеспечение деятельности Централизованной библиотечной системы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</si>
  <si>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обеспечение деятельности Городского организационно- методического центра </t>
    </r>
    <r>
      <rPr>
        <b/>
        <sz val="10"/>
        <rFont val="Times New Roman"/>
        <family val="1"/>
        <charset val="204"/>
      </rPr>
      <t xml:space="preserve"> местный бюджет</t>
    </r>
  </si>
  <si>
    <r>
      <t xml:space="preserve">обеспечение деятельности Централизованной бухгалтерии культуры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</si>
  <si>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предоставление субсидий местным бюджетам МО КК в целях финансового обеспечения расходных обязательств МО КК в части ремонта и укрепления материально- технической базы, технического оснащения муниципальных учреждений культуры  и (или) детских музыкальных школ, художественных школ, школ искусств, домов детского творчества, функции и полномочия учредителя в отношении которых осуществляют органы местного самоуправления МО КК </t>
    </r>
    <r>
      <rPr>
        <b/>
        <sz val="10"/>
        <color theme="1"/>
        <rFont val="Times New Roman"/>
        <family val="1"/>
        <charset val="204"/>
      </rPr>
      <t>краевой бюджет</t>
    </r>
  </si>
  <si>
    <t>Ремонт муниципальных детских и спортивных площадок, а также оборудования, расположенного на них</t>
  </si>
  <si>
    <t>Благоустройство пляжа</t>
  </si>
  <si>
    <t>Ремонт автомобильных и пешеходных мостов через реки города Туапсе</t>
  </si>
  <si>
    <t>Устройство пешеходного перехода по ул.Фрунзе в районе дома №24 в г.Туапсе</t>
  </si>
  <si>
    <t>Комплекс измерений по приемочному контролю качества нанесенных линий дорожной разметки полностью по нанесенному пункту</t>
  </si>
  <si>
    <t xml:space="preserve">Мероприятия по гражданской обороне, предуприждению и ликвидации ЧС, стихийных бедствий и их последствий в г.Туапсе </t>
  </si>
  <si>
    <t>Резервный фонд администрации Туапсинского городского поселения</t>
  </si>
  <si>
    <t>Распределительные газопроводы низкого давления по жилого дома №36 до жилого дома №47 по ул.Калараша в г. Туапсе</t>
  </si>
  <si>
    <t>Мероприятия по техническому обслуживанию, эксплуатации и ремонту</t>
  </si>
  <si>
    <t>Корректировка схемы газоснабжения</t>
  </si>
  <si>
    <t>Экспертиза промышленной безопасности двух подземных резервуаров сжиженного</t>
  </si>
  <si>
    <r>
      <t xml:space="preserve">осуществление капитального ремонта  учреждениями культуры в рамках реализации мероприятий по решению социально- значимых вопросов </t>
    </r>
    <r>
      <rPr>
        <b/>
        <sz val="10"/>
        <color theme="1"/>
        <rFont val="Times New Roman"/>
        <family val="1"/>
        <charset val="204"/>
      </rPr>
      <t>краевой бюджет</t>
    </r>
  </si>
  <si>
    <t xml:space="preserve">Создание условий для выполнения органами местного самоуправления своих полномочий </t>
  </si>
  <si>
    <t>Вывоз ТКО с городского кладбища по ул. Калараша</t>
  </si>
  <si>
    <t xml:space="preserve"> Ликвидация последствий чрезвычайной ситуации на автомобильной дороге по ул.Калараша на пересечении с ул.Портовиков (проект)</t>
  </si>
  <si>
    <t xml:space="preserve"> Ликвидация последствий чрезвычайной ситуации на автомобильной дороге по ул.Калараша в районе земельного участка с кадастровым номером 23:51:0201001:2891 в г.Туапсе . (проект)</t>
  </si>
  <si>
    <r>
      <t>Поощрение победителей краевого смотра-конкурса на звание "Лучший орган территориального общественного самоуправления"</t>
    </r>
    <r>
      <rPr>
        <b/>
        <sz val="11"/>
        <rFont val="Times New Roman"/>
        <family val="1"/>
        <charset val="204"/>
      </rPr>
      <t xml:space="preserve"> краевой бюджет</t>
    </r>
  </si>
  <si>
    <r>
      <t xml:space="preserve">Мониторинг выполнения Сетевого план-графика расходования бюджетных средств программным методом по состоянию на  31.12.2021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</si>
  <si>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r>
      <t xml:space="preserve">Комплектование  книжных фондов библиотек  </t>
    </r>
    <r>
      <rPr>
        <b/>
        <sz val="10"/>
        <rFont val="Times New Roman"/>
        <family val="1"/>
        <charset val="204"/>
      </rPr>
      <t>местный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</si>
  <si>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</si>
  <si>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Times New Roman"/>
        <family val="1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</si>
  <si>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</si>
  <si>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Times New Roman"/>
        <family val="1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</si>
  <si>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Times New Roman"/>
        <family val="1"/>
        <charset val="204"/>
      </rPr>
      <t>местный бюджет</t>
    </r>
  </si>
  <si>
    <t>Внесение органом местного самоуправления дополнительных взносов на капитальный ремонт общего имущества за муниципальные помещения, расположенные в многоквартирных домах.</t>
  </si>
  <si>
    <t>Оформление города к праздничным мероприятиям</t>
  </si>
  <si>
    <t>Профилактическая дезинфекция против клещей</t>
  </si>
  <si>
    <t>Текущий ремонт пешеходного моста по ул. Гагарина</t>
  </si>
  <si>
    <t>Благоустройство сквера по ул. М.Жукова "Аллея городов-героев"</t>
  </si>
  <si>
    <t>Капитальный ремонт насосной станции с земеной технологического оборудования</t>
  </si>
  <si>
    <t>Неотложные аварийно-восстановительные работы по восстановлению объекта "Напорные трубопроводы стальные от ГНС до ОС" по ул. Набережная в районе земельного участка с кадастровым номером 23:51:0302001:97"</t>
  </si>
  <si>
    <t>Ликвидация последствий чрезвычайных ситуаций на автомобильных дорогах общего пользования местного значения</t>
  </si>
  <si>
    <t>Проектно-изыскательские работы по объекту: «Реконструкция автомобильных дорог по ул.Новороссийское шоссе, ул.Фрунзе, ул.Горького, ул.Бондаренко, ул.Кириченко в г.Туапсе»</t>
  </si>
  <si>
    <t>Капитальный ремонт участка автомобильной дороги по ул. Кирова в районе песресечения с ул. Морская в г. Туапсе (ПИР)</t>
  </si>
  <si>
    <t>Капитальный ремонт участка автомобильной дороги по ул. К. Либкнехта в районе д. № 15-17 в городе Туапсе (ПИР)</t>
  </si>
  <si>
    <t>Капитальный ремонт дороги с прилегающей территорией по адресу: г. Туапсе ул. Весенняя от дома №1 до станции технического обслуживания (инженерно-геодезические изыскания, проектно-сметная документация)</t>
  </si>
  <si>
    <t>Установка остановочного комплекса по ул. Судоремонтников, 58</t>
  </si>
  <si>
    <t>Организация и проведение конкурса на лучшее новогоднее оформление предприятий торговли, общественного питания, бытового обслуживания населения и конкурсов профессионального мастерства</t>
  </si>
  <si>
    <t>Распределительные газопроводы среднего и низкого давления по улПугачевская,пер.Пугачевский,ул.Маяковского,ул.Шапсугская,ул.Короленко,ул.Вольная с установкой ГРП-40</t>
  </si>
  <si>
    <t>Распределительный газопровод   низкого давления к МКД  №28-30 по ул. Фрунзе в г. Туапсе.</t>
  </si>
  <si>
    <t>Благоустройство общественных территорий</t>
  </si>
  <si>
    <t>Благоустройство общественных территорий визуально-пространственного восприятия</t>
  </si>
  <si>
    <t xml:space="preserve">Разработка проектно-сметной документации, прохождение экспертизы, геодезическая съемка </t>
  </si>
  <si>
    <t>Организация и проведение голосования по отбору общественных территорий для благоустройства</t>
  </si>
  <si>
    <t>Всероссийский конкурс пректов создания комфортной городской среды по объекту: "Благоустройство территории Центрального пляжа в г.Туапсе Краснодарского края" (ПИР)</t>
  </si>
  <si>
    <t>Участие во Всероссийских форумах, посвященных вопросам благоустроства и формирования городской среды</t>
  </si>
  <si>
    <r>
      <t xml:space="preserve">Создание и обеспечение деятельности административной комиссии </t>
    </r>
    <r>
      <rPr>
        <b/>
        <sz val="11"/>
        <rFont val="Times New Roman"/>
        <family val="1"/>
        <charset val="204"/>
      </rPr>
      <t xml:space="preserve"> краевой бюджет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</si>
</sst>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_ ;\-#,##0.0\ "/>
    <numFmt numFmtId="169" formatCode="_(* #,##0.0_);_(* \(#,##0.0\);_(* &quot;-&quot;??_);_(@_)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theme="4"/>
      <name val="Times New Roman"/>
      <family val="1"/>
      <charset val="204"/>
    </font>
    <font>
      <b/>
      <sz val="10"/>
      <color theme="4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</font>
    <font>
      <sz val="10"/>
      <color theme="1"/>
      <name val="Calibri"/>
      <family val="2"/>
      <charset val="204"/>
      <scheme val="minor"/>
    </font>
    <font>
      <sz val="10"/>
      <color theme="4"/>
      <name val="Times New Roman"/>
      <family val="1"/>
      <charset val="204"/>
    </font>
    <font>
      <b/>
      <sz val="9"/>
      <color indexed="81"/>
      <name val="Tahoma"/>
      <charset val="1"/>
    </font>
    <font>
      <sz val="10"/>
      <color theme="0"/>
      <name val="Times New Roman"/>
      <family val="1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164" fontId="1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</cellStyleXfs>
  <cellXfs count="711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4" fillId="3" borderId="16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0" fillId="3" borderId="2" xfId="7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165" fontId="5" fillId="3" borderId="2" xfId="6" applyNumberFormat="1" applyFont="1" applyFill="1" applyBorder="1" applyAlignment="1" applyProtection="1">
      <alignment horizontal="center" vertical="center" wrapText="1"/>
    </xf>
    <xf numFmtId="0" fontId="1" fillId="3" borderId="2" xfId="1" applyFill="1" applyBorder="1"/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28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/>
    <xf numFmtId="0" fontId="17" fillId="5" borderId="2" xfId="1" applyFont="1" applyFill="1" applyBorder="1" applyAlignment="1">
      <alignment horizontal="center" vertical="center" wrapText="1"/>
    </xf>
    <xf numFmtId="165" fontId="28" fillId="3" borderId="2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166" fontId="27" fillId="3" borderId="2" xfId="6" applyNumberFormat="1" applyFont="1" applyFill="1" applyBorder="1" applyAlignment="1" applyProtection="1">
      <alignment horizontal="right" vertical="center" wrapText="1"/>
    </xf>
    <xf numFmtId="0" fontId="4" fillId="6" borderId="14" xfId="1" applyFont="1" applyFill="1" applyBorder="1" applyAlignment="1" applyProtection="1">
      <alignment horizontal="center" vertical="center" wrapText="1"/>
      <protection locked="0"/>
    </xf>
    <xf numFmtId="165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1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165" fontId="5" fillId="6" borderId="2" xfId="6" applyNumberFormat="1" applyFont="1" applyFill="1" applyBorder="1" applyAlignment="1" applyProtection="1">
      <alignment horizontal="center" vertical="center" wrapText="1"/>
    </xf>
    <xf numFmtId="165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18" xfId="1" applyFont="1" applyFill="1" applyBorder="1" applyAlignment="1" applyProtection="1">
      <alignment horizontal="center" vertical="center" wrapText="1"/>
      <protection locked="0"/>
    </xf>
    <xf numFmtId="0" fontId="4" fillId="6" borderId="16" xfId="1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left" vertical="center" wrapText="1"/>
      <protection locked="0"/>
    </xf>
    <xf numFmtId="165" fontId="5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0" fontId="11" fillId="3" borderId="2" xfId="1" applyFont="1" applyFill="1" applyBorder="1" applyAlignment="1">
      <alignment horizontal="center"/>
    </xf>
    <xf numFmtId="0" fontId="11" fillId="3" borderId="2" xfId="1" applyFont="1" applyFill="1" applyBorder="1"/>
    <xf numFmtId="0" fontId="11" fillId="3" borderId="3" xfId="1" applyFont="1" applyFill="1" applyBorder="1"/>
    <xf numFmtId="0" fontId="11" fillId="3" borderId="3" xfId="1" applyFont="1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/>
    </xf>
    <xf numFmtId="2" fontId="20" fillId="6" borderId="2" xfId="0" applyNumberFormat="1" applyFont="1" applyFill="1" applyBorder="1" applyAlignment="1">
      <alignment horizontal="right" vertical="center" wrapText="1"/>
    </xf>
    <xf numFmtId="165" fontId="5" fillId="6" borderId="2" xfId="3" applyNumberFormat="1" applyFont="1" applyFill="1" applyBorder="1" applyAlignment="1" applyProtection="1">
      <alignment horizontal="right" vertical="center" wrapText="1"/>
      <protection locked="0"/>
    </xf>
    <xf numFmtId="165" fontId="24" fillId="3" borderId="2" xfId="6" applyNumberFormat="1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Protection="1">
      <protection locked="0"/>
    </xf>
    <xf numFmtId="165" fontId="28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1" applyFont="1" applyFill="1" applyBorder="1" applyAlignment="1" applyProtection="1">
      <alignment horizontal="left" vertical="center" wrapText="1"/>
      <protection locked="0"/>
    </xf>
    <xf numFmtId="0" fontId="4" fillId="6" borderId="21" xfId="1" applyFont="1" applyFill="1" applyBorder="1" applyAlignment="1" applyProtection="1">
      <alignment horizontal="center" vertical="center" wrapText="1"/>
      <protection locked="0"/>
    </xf>
    <xf numFmtId="0" fontId="4" fillId="6" borderId="18" xfId="1" applyFont="1" applyFill="1" applyBorder="1" applyAlignment="1" applyProtection="1">
      <alignment horizontal="center" vertical="center" wrapText="1"/>
      <protection locked="0"/>
    </xf>
    <xf numFmtId="165" fontId="5" fillId="6" borderId="2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6" fillId="3" borderId="18" xfId="1" applyFont="1" applyFill="1" applyBorder="1" applyAlignment="1" applyProtection="1">
      <alignment horizontal="center" vertical="center" wrapText="1"/>
      <protection locked="0"/>
    </xf>
    <xf numFmtId="0" fontId="9" fillId="6" borderId="30" xfId="1" applyFont="1" applyFill="1" applyBorder="1" applyAlignment="1" applyProtection="1">
      <alignment horizontal="center" vertical="center" wrapText="1"/>
      <protection locked="0"/>
    </xf>
    <xf numFmtId="0" fontId="24" fillId="6" borderId="18" xfId="0" applyFont="1" applyFill="1" applyBorder="1" applyAlignment="1">
      <alignment horizontal="left" vertical="top" wrapText="1"/>
    </xf>
    <xf numFmtId="0" fontId="4" fillId="6" borderId="30" xfId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>
      <alignment horizontal="left" vertical="top" wrapText="1"/>
    </xf>
    <xf numFmtId="0" fontId="31" fillId="6" borderId="2" xfId="0" applyFont="1" applyFill="1" applyBorder="1" applyAlignment="1">
      <alignment horizontal="center" vertical="center" wrapText="1"/>
    </xf>
    <xf numFmtId="0" fontId="1" fillId="6" borderId="2" xfId="1" applyFill="1" applyBorder="1" applyProtection="1">
      <protection locked="0"/>
    </xf>
    <xf numFmtId="0" fontId="28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1" applyFont="1" applyFill="1" applyBorder="1" applyAlignment="1">
      <alignment horizontal="left" vertical="top" wrapText="1"/>
    </xf>
    <xf numFmtId="0" fontId="22" fillId="6" borderId="2" xfId="1" applyFont="1" applyFill="1" applyBorder="1" applyAlignment="1">
      <alignment horizontal="center" vertical="center"/>
    </xf>
    <xf numFmtId="0" fontId="15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2" xfId="1" applyFill="1" applyBorder="1"/>
    <xf numFmtId="165" fontId="20" fillId="3" borderId="2" xfId="6" applyNumberFormat="1" applyFont="1" applyFill="1" applyBorder="1" applyAlignment="1" applyProtection="1">
      <alignment horizontal="center" vertical="center" wrapText="1"/>
      <protection locked="0"/>
    </xf>
    <xf numFmtId="167" fontId="15" fillId="3" borderId="2" xfId="4" applyNumberFormat="1" applyFont="1" applyFill="1" applyBorder="1" applyAlignment="1">
      <alignment horizontal="center" vertical="center" wrapText="1"/>
    </xf>
    <xf numFmtId="167" fontId="15" fillId="3" borderId="2" xfId="4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66" fontId="22" fillId="3" borderId="2" xfId="1" applyNumberFormat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67" fontId="15" fillId="3" borderId="2" xfId="4" applyNumberFormat="1" applyFont="1" applyFill="1" applyBorder="1" applyAlignment="1">
      <alignment horizontal="center" vertical="top"/>
    </xf>
    <xf numFmtId="0" fontId="22" fillId="3" borderId="2" xfId="1" applyFont="1" applyFill="1" applyBorder="1" applyAlignment="1">
      <alignment horizontal="center" vertical="top"/>
    </xf>
    <xf numFmtId="0" fontId="1" fillId="3" borderId="21" xfId="1" applyFill="1" applyBorder="1" applyAlignment="1"/>
    <xf numFmtId="0" fontId="22" fillId="3" borderId="6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22" fillId="3" borderId="2" xfId="1" applyFont="1" applyFill="1" applyBorder="1"/>
    <xf numFmtId="0" fontId="22" fillId="3" borderId="2" xfId="1" applyFont="1" applyFill="1" applyBorder="1" applyAlignment="1">
      <alignment horizontal="center"/>
    </xf>
    <xf numFmtId="165" fontId="5" fillId="6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</xf>
    <xf numFmtId="0" fontId="22" fillId="6" borderId="6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8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10" fillId="3" borderId="2" xfId="0" applyNumberFormat="1" applyFont="1" applyFill="1" applyBorder="1" applyAlignment="1" applyProtection="1">
      <alignment horizontal="right" vertical="center"/>
      <protection locked="0"/>
    </xf>
    <xf numFmtId="166" fontId="3" fillId="3" borderId="2" xfId="0" applyNumberFormat="1" applyFont="1" applyFill="1" applyBorder="1" applyAlignment="1" applyProtection="1">
      <alignment horizontal="right" vertical="center"/>
      <protection locked="0"/>
    </xf>
    <xf numFmtId="166" fontId="27" fillId="3" borderId="7" xfId="6" applyNumberFormat="1" applyFont="1" applyFill="1" applyBorder="1" applyAlignment="1" applyProtection="1">
      <alignment horizontal="right" vertical="center"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28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/>
    <xf numFmtId="166" fontId="14" fillId="3" borderId="6" xfId="1" applyNumberFormat="1" applyFont="1" applyFill="1" applyBorder="1"/>
    <xf numFmtId="0" fontId="0" fillId="3" borderId="2" xfId="0" applyFill="1" applyBorder="1" applyAlignment="1">
      <alignment horizontal="center" vertical="center"/>
    </xf>
    <xf numFmtId="2" fontId="27" fillId="3" borderId="27" xfId="6" applyNumberFormat="1" applyFont="1" applyFill="1" applyBorder="1" applyAlignment="1" applyProtection="1">
      <alignment horizontal="right" vertical="center" wrapText="1"/>
    </xf>
    <xf numFmtId="2" fontId="27" fillId="3" borderId="2" xfId="6" applyNumberFormat="1" applyFont="1" applyFill="1" applyBorder="1" applyAlignment="1" applyProtection="1">
      <alignment horizontal="right" vertical="center" wrapText="1"/>
    </xf>
    <xf numFmtId="2" fontId="10" fillId="3" borderId="2" xfId="0" applyNumberFormat="1" applyFont="1" applyFill="1" applyBorder="1" applyAlignment="1" applyProtection="1">
      <alignment horizontal="right" vertical="center"/>
      <protection locked="0"/>
    </xf>
    <xf numFmtId="2" fontId="27" fillId="3" borderId="7" xfId="6" applyNumberFormat="1" applyFont="1" applyFill="1" applyBorder="1" applyAlignment="1" applyProtection="1">
      <alignment horizontal="right" vertical="center" wrapText="1"/>
    </xf>
    <xf numFmtId="2" fontId="10" fillId="3" borderId="7" xfId="0" applyNumberFormat="1" applyFont="1" applyFill="1" applyBorder="1" applyAlignment="1" applyProtection="1">
      <alignment horizontal="right" vertical="center"/>
      <protection locked="0"/>
    </xf>
    <xf numFmtId="0" fontId="17" fillId="5" borderId="21" xfId="1" applyFont="1" applyFill="1" applyBorder="1" applyAlignment="1">
      <alignment horizontal="center" vertical="center" wrapText="1"/>
    </xf>
    <xf numFmtId="166" fontId="23" fillId="3" borderId="2" xfId="6" applyNumberFormat="1" applyFont="1" applyFill="1" applyBorder="1" applyAlignment="1" applyProtection="1">
      <alignment horizontal="center" vertical="center" wrapText="1"/>
    </xf>
    <xf numFmtId="166" fontId="24" fillId="3" borderId="2" xfId="6" applyNumberFormat="1" applyFont="1" applyFill="1" applyBorder="1" applyAlignment="1" applyProtection="1">
      <alignment horizontal="right" vertical="center" wrapText="1"/>
    </xf>
    <xf numFmtId="166" fontId="24" fillId="3" borderId="2" xfId="0" applyNumberFormat="1" applyFont="1" applyFill="1" applyBorder="1" applyAlignment="1" applyProtection="1">
      <alignment horizontal="right" vertical="center"/>
      <protection locked="0"/>
    </xf>
    <xf numFmtId="2" fontId="23" fillId="3" borderId="2" xfId="6" applyNumberFormat="1" applyFont="1" applyFill="1" applyBorder="1" applyAlignment="1" applyProtection="1">
      <alignment horizontal="center" vertical="center" wrapText="1"/>
    </xf>
    <xf numFmtId="166" fontId="2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8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5" fillId="6" borderId="3" xfId="1" applyFont="1" applyFill="1" applyBorder="1" applyAlignment="1" applyProtection="1">
      <alignment horizontal="center" vertical="center" wrapText="1"/>
      <protection locked="0"/>
    </xf>
    <xf numFmtId="0" fontId="28" fillId="6" borderId="3" xfId="3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right" vertical="center"/>
      <protection locked="0"/>
    </xf>
    <xf numFmtId="49" fontId="3" fillId="3" borderId="9" xfId="0" applyNumberFormat="1" applyFont="1" applyFill="1" applyBorder="1" applyAlignment="1" applyProtection="1">
      <alignment horizontal="right" vertical="center"/>
      <protection locked="0"/>
    </xf>
    <xf numFmtId="165" fontId="5" fillId="6" borderId="3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ill="1" applyBorder="1" applyAlignment="1">
      <alignment horizontal="center" vertical="center"/>
    </xf>
    <xf numFmtId="165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" xfId="1" applyFill="1" applyBorder="1"/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5" fillId="6" borderId="31" xfId="3" applyNumberFormat="1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6" fontId="22" fillId="2" borderId="2" xfId="1" applyNumberFormat="1" applyFont="1" applyFill="1" applyBorder="1" applyAlignment="1">
      <alignment horizontal="center" vertical="center"/>
    </xf>
    <xf numFmtId="166" fontId="1" fillId="3" borderId="2" xfId="1" applyNumberFormat="1" applyFill="1" applyBorder="1" applyAlignment="1">
      <alignment horizontal="center" vertical="center"/>
    </xf>
    <xf numFmtId="166" fontId="29" fillId="3" borderId="21" xfId="1" applyNumberFormat="1" applyFont="1" applyFill="1" applyBorder="1" applyAlignment="1">
      <alignment horizontal="center" vertical="center"/>
    </xf>
    <xf numFmtId="166" fontId="14" fillId="3" borderId="2" xfId="1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 applyProtection="1">
      <alignment horizontal="center" vertical="center"/>
      <protection locked="0"/>
    </xf>
    <xf numFmtId="9" fontId="11" fillId="3" borderId="2" xfId="1" applyNumberFormat="1" applyFont="1" applyFill="1" applyBorder="1"/>
    <xf numFmtId="0" fontId="1" fillId="0" borderId="2" xfId="1" applyFill="1" applyBorder="1" applyProtection="1">
      <protection locked="0"/>
    </xf>
    <xf numFmtId="164" fontId="1" fillId="3" borderId="2" xfId="1" applyNumberFormat="1" applyFill="1" applyBorder="1" applyAlignment="1">
      <alignment horizontal="center" vertical="center"/>
    </xf>
    <xf numFmtId="166" fontId="24" fillId="2" borderId="35" xfId="0" applyNumberFormat="1" applyFont="1" applyFill="1" applyBorder="1" applyAlignment="1">
      <alignment horizontal="center" vertical="center" wrapText="1"/>
    </xf>
    <xf numFmtId="166" fontId="24" fillId="3" borderId="2" xfId="1" applyNumberFormat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 wrapText="1"/>
    </xf>
    <xf numFmtId="166" fontId="10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6" borderId="2" xfId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2" xfId="1" applyNumberFormat="1" applyFont="1" applyFill="1" applyBorder="1" applyAlignment="1">
      <alignment horizontal="center" vertical="center"/>
    </xf>
    <xf numFmtId="2" fontId="20" fillId="5" borderId="2" xfId="1" applyNumberFormat="1" applyFont="1" applyFill="1" applyBorder="1" applyAlignment="1">
      <alignment horizontal="center" vertical="center"/>
    </xf>
    <xf numFmtId="0" fontId="28" fillId="5" borderId="21" xfId="0" applyFont="1" applyFill="1" applyBorder="1" applyAlignment="1" applyProtection="1">
      <alignment horizontal="center" vertical="center" wrapText="1"/>
    </xf>
    <xf numFmtId="166" fontId="23" fillId="3" borderId="2" xfId="6" applyNumberFormat="1" applyFont="1" applyFill="1" applyBorder="1" applyAlignment="1" applyProtection="1">
      <alignment horizontal="right" vertical="center" wrapText="1"/>
    </xf>
    <xf numFmtId="0" fontId="30" fillId="6" borderId="2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0" fillId="6" borderId="2" xfId="1" applyFont="1" applyFill="1" applyBorder="1" applyAlignment="1">
      <alignment horizontal="center" vertical="center"/>
    </xf>
    <xf numFmtId="165" fontId="2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 wrapText="1"/>
    </xf>
    <xf numFmtId="0" fontId="11" fillId="2" borderId="6" xfId="1" applyFont="1" applyFill="1" applyBorder="1" applyAlignment="1">
      <alignment wrapText="1"/>
    </xf>
    <xf numFmtId="0" fontId="11" fillId="2" borderId="2" xfId="1" applyFont="1" applyFill="1" applyBorder="1"/>
    <xf numFmtId="165" fontId="23" fillId="2" borderId="2" xfId="3" applyNumberFormat="1" applyFont="1" applyFill="1" applyBorder="1" applyAlignment="1" applyProtection="1">
      <alignment horizontal="center" wrapText="1"/>
      <protection locked="0"/>
    </xf>
    <xf numFmtId="0" fontId="3" fillId="2" borderId="2" xfId="1" applyFont="1" applyFill="1" applyBorder="1" applyAlignment="1" applyProtection="1">
      <protection locked="0"/>
    </xf>
    <xf numFmtId="165" fontId="2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 applyProtection="1">
      <protection locked="0"/>
    </xf>
    <xf numFmtId="9" fontId="11" fillId="2" borderId="2" xfId="1" applyNumberFormat="1" applyFont="1" applyFill="1" applyBorder="1"/>
    <xf numFmtId="0" fontId="22" fillId="2" borderId="26" xfId="0" applyFont="1" applyFill="1" applyBorder="1" applyAlignment="1">
      <alignment vertical="top" wrapText="1"/>
    </xf>
    <xf numFmtId="0" fontId="22" fillId="2" borderId="2" xfId="1" applyFont="1" applyFill="1" applyBorder="1" applyAlignment="1">
      <alignment horizontal="left" wrapText="1"/>
    </xf>
    <xf numFmtId="0" fontId="22" fillId="2" borderId="2" xfId="1" applyFont="1" applyFill="1" applyBorder="1" applyAlignment="1">
      <alignment horizontal="left" vertical="top" wrapText="1"/>
    </xf>
    <xf numFmtId="0" fontId="24" fillId="2" borderId="2" xfId="1" applyFont="1" applyFill="1" applyBorder="1" applyAlignment="1">
      <alignment horizontal="center" vertical="center" wrapText="1"/>
    </xf>
    <xf numFmtId="166" fontId="24" fillId="2" borderId="21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vertical="center"/>
    </xf>
    <xf numFmtId="166" fontId="24" fillId="2" borderId="2" xfId="1" applyNumberFormat="1" applyFont="1" applyFill="1" applyBorder="1" applyAlignment="1"/>
    <xf numFmtId="0" fontId="22" fillId="2" borderId="12" xfId="0" applyFont="1" applyFill="1" applyBorder="1" applyAlignment="1">
      <alignment vertical="top" wrapText="1"/>
    </xf>
    <xf numFmtId="165" fontId="20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4" fillId="2" borderId="12" xfId="0" applyFont="1" applyFill="1" applyBorder="1" applyAlignment="1">
      <alignment vertical="top" wrapText="1"/>
    </xf>
    <xf numFmtId="165" fontId="24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4" fillId="2" borderId="26" xfId="0" applyFont="1" applyFill="1" applyBorder="1" applyAlignment="1">
      <alignment vertical="top" wrapText="1"/>
    </xf>
    <xf numFmtId="0" fontId="24" fillId="2" borderId="2" xfId="1" applyFont="1" applyFill="1" applyBorder="1"/>
    <xf numFmtId="166" fontId="22" fillId="2" borderId="35" xfId="0" applyNumberFormat="1" applyFont="1" applyFill="1" applyBorder="1" applyAlignment="1" applyProtection="1">
      <alignment horizontal="center" vertical="center"/>
      <protection locked="0"/>
    </xf>
    <xf numFmtId="166" fontId="22" fillId="2" borderId="35" xfId="0" applyNumberFormat="1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top" wrapText="1"/>
    </xf>
    <xf numFmtId="166" fontId="24" fillId="2" borderId="23" xfId="1" applyNumberFormat="1" applyFont="1" applyFill="1" applyBorder="1" applyAlignment="1">
      <alignment horizontal="center" vertical="center"/>
    </xf>
    <xf numFmtId="166" fontId="24" fillId="2" borderId="6" xfId="1" applyNumberFormat="1" applyFont="1" applyFill="1" applyBorder="1" applyAlignment="1">
      <alignment horizontal="center" vertical="center"/>
    </xf>
    <xf numFmtId="166" fontId="24" fillId="2" borderId="25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166" fontId="24" fillId="2" borderId="28" xfId="1" applyNumberFormat="1" applyFont="1" applyFill="1" applyBorder="1" applyAlignment="1">
      <alignment horizontal="center" vertical="center" wrapText="1"/>
    </xf>
    <xf numFmtId="166" fontId="24" fillId="2" borderId="31" xfId="1" applyNumberFormat="1" applyFont="1" applyFill="1" applyBorder="1" applyAlignment="1">
      <alignment horizontal="center" vertical="center"/>
    </xf>
    <xf numFmtId="166" fontId="24" fillId="2" borderId="3" xfId="1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166" fontId="1" fillId="2" borderId="2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66" fontId="20" fillId="2" borderId="21" xfId="1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wrapText="1"/>
    </xf>
    <xf numFmtId="166" fontId="1" fillId="2" borderId="6" xfId="1" applyNumberForma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3" xfId="1" applyFill="1" applyBorder="1"/>
    <xf numFmtId="2" fontId="24" fillId="2" borderId="2" xfId="1" applyNumberFormat="1" applyFont="1" applyFill="1" applyBorder="1" applyAlignment="1">
      <alignment horizontal="center" vertical="center"/>
    </xf>
    <xf numFmtId="166" fontId="25" fillId="2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horizontal="left" vertical="top" wrapText="1"/>
    </xf>
    <xf numFmtId="0" fontId="24" fillId="2" borderId="21" xfId="1" applyFont="1" applyFill="1" applyBorder="1" applyAlignment="1">
      <alignment horizontal="center" vertical="center" wrapText="1"/>
    </xf>
    <xf numFmtId="166" fontId="24" fillId="2" borderId="11" xfId="0" applyNumberFormat="1" applyFont="1" applyFill="1" applyBorder="1" applyAlignment="1">
      <alignment horizontal="center" vertical="center" wrapText="1"/>
    </xf>
    <xf numFmtId="0" fontId="28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166" fontId="3" fillId="3" borderId="34" xfId="0" applyNumberFormat="1" applyFont="1" applyFill="1" applyBorder="1" applyAlignment="1" applyProtection="1">
      <alignment horizontal="right" vertical="center"/>
      <protection locked="0"/>
    </xf>
    <xf numFmtId="166" fontId="24" fillId="3" borderId="35" xfId="0" applyNumberFormat="1" applyFont="1" applyFill="1" applyBorder="1" applyAlignment="1">
      <alignment horizontal="center" vertical="center" wrapText="1"/>
    </xf>
    <xf numFmtId="0" fontId="22" fillId="3" borderId="3" xfId="1" applyFont="1" applyFill="1" applyBorder="1"/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165" fontId="5" fillId="6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1" applyFill="1" applyBorder="1" applyProtection="1">
      <protection locked="0"/>
    </xf>
    <xf numFmtId="0" fontId="25" fillId="2" borderId="21" xfId="0" applyFont="1" applyFill="1" applyBorder="1" applyAlignment="1">
      <alignment vertical="top" wrapText="1"/>
    </xf>
    <xf numFmtId="166" fontId="23" fillId="0" borderId="3" xfId="6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>
      <alignment vertical="top" wrapText="1"/>
    </xf>
    <xf numFmtId="0" fontId="26" fillId="2" borderId="2" xfId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center" vertical="center"/>
    </xf>
    <xf numFmtId="0" fontId="11" fillId="0" borderId="2" xfId="1" applyFont="1" applyFill="1" applyBorder="1"/>
    <xf numFmtId="166" fontId="24" fillId="0" borderId="2" xfId="1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4" fillId="2" borderId="2" xfId="1" applyNumberFormat="1" applyFont="1" applyFill="1" applyBorder="1"/>
    <xf numFmtId="0" fontId="10" fillId="2" borderId="2" xfId="1" applyFont="1" applyFill="1" applyBorder="1" applyAlignment="1">
      <alignment wrapText="1"/>
    </xf>
    <xf numFmtId="0" fontId="10" fillId="2" borderId="2" xfId="1" applyFont="1" applyFill="1" applyBorder="1"/>
    <xf numFmtId="0" fontId="24" fillId="2" borderId="2" xfId="1" applyFont="1" applyFill="1" applyBorder="1" applyAlignment="1">
      <alignment wrapText="1"/>
    </xf>
    <xf numFmtId="166" fontId="10" fillId="0" borderId="2" xfId="1" applyNumberFormat="1" applyFont="1" applyFill="1" applyBorder="1"/>
    <xf numFmtId="166" fontId="20" fillId="2" borderId="31" xfId="1" applyNumberFormat="1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6" fontId="27" fillId="3" borderId="9" xfId="6" applyNumberFormat="1" applyFont="1" applyFill="1" applyBorder="1" applyAlignment="1" applyProtection="1">
      <alignment horizontal="right" vertical="center" wrapText="1"/>
    </xf>
    <xf numFmtId="166" fontId="23" fillId="3" borderId="3" xfId="6" applyNumberFormat="1" applyFont="1" applyFill="1" applyBorder="1" applyAlignment="1" applyProtection="1">
      <alignment horizontal="center" vertical="center" wrapText="1"/>
    </xf>
    <xf numFmtId="0" fontId="1" fillId="3" borderId="3" xfId="1" applyFill="1" applyBorder="1" applyProtection="1">
      <protection locked="0"/>
    </xf>
    <xf numFmtId="166" fontId="24" fillId="2" borderId="3" xfId="0" applyNumberFormat="1" applyFont="1" applyFill="1" applyBorder="1" applyAlignment="1">
      <alignment horizontal="center" vertical="center" wrapText="1"/>
    </xf>
    <xf numFmtId="0" fontId="24" fillId="2" borderId="3" xfId="1" applyFont="1" applyFill="1" applyBorder="1"/>
    <xf numFmtId="166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6" fontId="24" fillId="3" borderId="3" xfId="0" applyNumberFormat="1" applyFont="1" applyFill="1" applyBorder="1" applyAlignment="1">
      <alignment horizontal="center" vertical="center" wrapText="1"/>
    </xf>
    <xf numFmtId="0" fontId="1" fillId="6" borderId="3" xfId="1" applyFill="1" applyBorder="1" applyProtection="1">
      <protection locked="0"/>
    </xf>
    <xf numFmtId="166" fontId="24" fillId="2" borderId="31" xfId="0" applyNumberFormat="1" applyFont="1" applyFill="1" applyBorder="1" applyAlignment="1">
      <alignment horizontal="center" vertical="center" wrapText="1"/>
    </xf>
    <xf numFmtId="166" fontId="24" fillId="3" borderId="3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17" fillId="0" borderId="25" xfId="1" applyFont="1" applyBorder="1" applyAlignment="1">
      <alignment horizontal="center" vertical="center" wrapText="1"/>
    </xf>
    <xf numFmtId="0" fontId="34" fillId="0" borderId="38" xfId="0" applyFont="1" applyBorder="1" applyAlignment="1">
      <alignment wrapText="1"/>
    </xf>
    <xf numFmtId="167" fontId="15" fillId="6" borderId="2" xfId="4" applyNumberFormat="1" applyFont="1" applyFill="1" applyBorder="1" applyAlignment="1">
      <alignment horizontal="center" vertical="top"/>
    </xf>
    <xf numFmtId="166" fontId="22" fillId="6" borderId="2" xfId="1" applyNumberFormat="1" applyFont="1" applyFill="1" applyBorder="1" applyAlignment="1">
      <alignment horizontal="center" vertical="top"/>
    </xf>
    <xf numFmtId="0" fontId="22" fillId="6" borderId="2" xfId="1" applyFont="1" applyFill="1" applyBorder="1" applyAlignment="1">
      <alignment horizontal="center" vertical="top"/>
    </xf>
    <xf numFmtId="0" fontId="22" fillId="6" borderId="3" xfId="1" applyFont="1" applyFill="1" applyBorder="1" applyAlignment="1">
      <alignment horizontal="center" vertical="center"/>
    </xf>
    <xf numFmtId="167" fontId="22" fillId="6" borderId="2" xfId="1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2" fontId="29" fillId="6" borderId="2" xfId="0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wrapText="1"/>
    </xf>
    <xf numFmtId="0" fontId="11" fillId="0" borderId="2" xfId="1" applyFont="1" applyFill="1" applyBorder="1" applyAlignment="1">
      <alignment wrapText="1"/>
    </xf>
    <xf numFmtId="0" fontId="20" fillId="0" borderId="2" xfId="1" applyFont="1" applyFill="1" applyBorder="1" applyAlignment="1">
      <alignment wrapText="1"/>
    </xf>
    <xf numFmtId="0" fontId="20" fillId="0" borderId="2" xfId="1" applyFont="1" applyFill="1" applyBorder="1"/>
    <xf numFmtId="0" fontId="22" fillId="6" borderId="18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vertical="center" wrapText="1"/>
    </xf>
    <xf numFmtId="0" fontId="22" fillId="6" borderId="18" xfId="1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vertical="center" wrapText="1"/>
    </xf>
    <xf numFmtId="0" fontId="11" fillId="6" borderId="18" xfId="0" applyFont="1" applyFill="1" applyBorder="1" applyAlignment="1" applyProtection="1">
      <alignment horizontal="left" vertical="center" wrapText="1"/>
      <protection locked="0"/>
    </xf>
    <xf numFmtId="0" fontId="22" fillId="3" borderId="18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vertical="center" wrapText="1"/>
    </xf>
    <xf numFmtId="0" fontId="25" fillId="2" borderId="28" xfId="0" applyFont="1" applyFill="1" applyBorder="1" applyAlignment="1">
      <alignment vertical="top" wrapText="1"/>
    </xf>
    <xf numFmtId="0" fontId="25" fillId="2" borderId="23" xfId="0" applyFont="1" applyFill="1" applyBorder="1" applyAlignment="1">
      <alignment vertical="top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15" fillId="3" borderId="21" xfId="1" applyFont="1" applyFill="1" applyBorder="1" applyAlignment="1" applyProtection="1">
      <alignment horizontal="left" vertical="center" wrapText="1"/>
      <protection locked="0"/>
    </xf>
    <xf numFmtId="0" fontId="15" fillId="6" borderId="18" xfId="1" applyFont="1" applyFill="1" applyBorder="1" applyAlignment="1" applyProtection="1">
      <alignment horizontal="left" vertical="center" wrapText="1"/>
      <protection locked="0"/>
    </xf>
    <xf numFmtId="0" fontId="22" fillId="3" borderId="20" xfId="0" applyFont="1" applyFill="1" applyBorder="1" applyAlignment="1">
      <alignment vertical="center" wrapText="1"/>
    </xf>
    <xf numFmtId="0" fontId="15" fillId="3" borderId="20" xfId="1" applyFont="1" applyFill="1" applyBorder="1" applyAlignment="1" applyProtection="1">
      <alignment horizontal="left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</xf>
    <xf numFmtId="0" fontId="20" fillId="0" borderId="2" xfId="1" applyFont="1" applyBorder="1" applyAlignment="1">
      <alignment horizontal="left" wrapText="1"/>
    </xf>
    <xf numFmtId="0" fontId="20" fillId="0" borderId="2" xfId="1" applyFont="1" applyBorder="1" applyAlignment="1">
      <alignment horizontal="left"/>
    </xf>
    <xf numFmtId="0" fontId="20" fillId="0" borderId="2" xfId="1" applyFont="1" applyBorder="1" applyAlignment="1">
      <alignment horizontal="right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29" fillId="0" borderId="2" xfId="1" applyFont="1" applyBorder="1" applyAlignment="1">
      <alignment vertical="top" wrapText="1"/>
    </xf>
    <xf numFmtId="0" fontId="20" fillId="0" borderId="3" xfId="1" applyFont="1" applyBorder="1" applyAlignment="1">
      <alignment horizontal="right"/>
    </xf>
    <xf numFmtId="0" fontId="20" fillId="0" borderId="5" xfId="1" applyFont="1" applyBorder="1" applyAlignment="1">
      <alignment horizontal="right"/>
    </xf>
    <xf numFmtId="0" fontId="20" fillId="2" borderId="2" xfId="1" applyFont="1" applyFill="1" applyBorder="1" applyAlignment="1"/>
    <xf numFmtId="2" fontId="20" fillId="2" borderId="2" xfId="1" applyNumberFormat="1" applyFont="1" applyFill="1" applyBorder="1" applyAlignment="1"/>
    <xf numFmtId="165" fontId="5" fillId="3" borderId="25" xfId="3" applyNumberFormat="1" applyFont="1" applyFill="1" applyBorder="1" applyAlignment="1" applyProtection="1">
      <alignment horizontal="center" vertical="center" wrapText="1"/>
      <protection locked="0"/>
    </xf>
    <xf numFmtId="0" fontId="20" fillId="3" borderId="27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 wrapText="1"/>
    </xf>
    <xf numFmtId="0" fontId="20" fillId="3" borderId="20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/>
    </xf>
    <xf numFmtId="0" fontId="20" fillId="3" borderId="6" xfId="1" applyFont="1" applyFill="1" applyBorder="1" applyAlignment="1">
      <alignment horizontal="left" wrapText="1"/>
    </xf>
    <xf numFmtId="0" fontId="20" fillId="2" borderId="6" xfId="1" applyFont="1" applyFill="1" applyBorder="1" applyAlignment="1">
      <alignment horizontal="left" wrapText="1"/>
    </xf>
    <xf numFmtId="0" fontId="20" fillId="0" borderId="6" xfId="1" applyFont="1" applyFill="1" applyBorder="1" applyAlignment="1">
      <alignment horizontal="left" wrapText="1"/>
    </xf>
    <xf numFmtId="0" fontId="29" fillId="0" borderId="6" xfId="1" applyFont="1" applyBorder="1" applyAlignment="1">
      <alignment wrapText="1"/>
    </xf>
    <xf numFmtId="166" fontId="24" fillId="2" borderId="0" xfId="1" applyNumberFormat="1" applyFont="1" applyFill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166" fontId="1" fillId="2" borderId="21" xfId="1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11" fillId="2" borderId="2" xfId="1" applyFont="1" applyFill="1" applyBorder="1" applyAlignment="1">
      <alignment vertical="center"/>
    </xf>
    <xf numFmtId="0" fontId="1" fillId="0" borderId="0" xfId="1"/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37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>
      <alignment vertical="top" wrapText="1"/>
    </xf>
    <xf numFmtId="0" fontId="0" fillId="0" borderId="20" xfId="0" applyFill="1" applyBorder="1" applyAlignment="1"/>
    <xf numFmtId="165" fontId="26" fillId="0" borderId="2" xfId="6" applyNumberFormat="1" applyFont="1" applyFill="1" applyBorder="1" applyAlignment="1" applyProtection="1">
      <alignment horizontal="center" vertical="center" wrapText="1"/>
    </xf>
    <xf numFmtId="166" fontId="20" fillId="0" borderId="3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 applyProtection="1">
      <alignment horizontal="center" vertical="center" wrapText="1"/>
      <protection locked="0"/>
    </xf>
    <xf numFmtId="0" fontId="28" fillId="0" borderId="18" xfId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15" fillId="0" borderId="14" xfId="1" applyFont="1" applyFill="1" applyBorder="1" applyAlignment="1" applyProtection="1">
      <alignment horizontal="center" vertical="center" wrapText="1"/>
      <protection locked="0"/>
    </xf>
    <xf numFmtId="2" fontId="22" fillId="0" borderId="3" xfId="1" applyNumberFormat="1" applyFont="1" applyFill="1" applyBorder="1" applyAlignment="1">
      <alignment horizontal="center" vertical="center" wrapText="1"/>
    </xf>
    <xf numFmtId="165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3" xfId="1" applyNumberFormat="1" applyFont="1" applyFill="1" applyBorder="1" applyAlignment="1">
      <alignment horizontal="center" vertical="center"/>
    </xf>
    <xf numFmtId="166" fontId="22" fillId="0" borderId="2" xfId="1" applyNumberFormat="1" applyFont="1" applyFill="1" applyBorder="1" applyAlignment="1">
      <alignment horizontal="center" vertical="center"/>
    </xf>
    <xf numFmtId="0" fontId="24" fillId="0" borderId="6" xfId="1" applyFont="1" applyFill="1" applyBorder="1" applyAlignment="1" applyProtection="1">
      <alignment horizontal="center" vertical="center"/>
      <protection locked="0"/>
    </xf>
    <xf numFmtId="0" fontId="32" fillId="6" borderId="2" xfId="0" applyFont="1" applyFill="1" applyBorder="1" applyAlignment="1">
      <alignment horizontal="left" wrapText="1"/>
    </xf>
    <xf numFmtId="2" fontId="4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35" fillId="2" borderId="29" xfId="0" applyFont="1" applyFill="1" applyBorder="1" applyAlignment="1">
      <alignment horizontal="left" vertical="center" wrapText="1"/>
    </xf>
    <xf numFmtId="0" fontId="28" fillId="6" borderId="21" xfId="3" applyNumberFormat="1" applyFont="1" applyFill="1" applyBorder="1" applyAlignment="1" applyProtection="1">
      <alignment horizontal="center" vertical="center" wrapText="1"/>
      <protection locked="0"/>
    </xf>
    <xf numFmtId="0" fontId="35" fillId="2" borderId="2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2" fontId="22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28" fillId="3" borderId="2" xfId="1" applyFont="1" applyFill="1" applyBorder="1" applyAlignment="1" applyProtection="1">
      <alignment horizontal="center" vertical="center" wrapText="1"/>
      <protection locked="0"/>
    </xf>
    <xf numFmtId="166" fontId="0" fillId="0" borderId="35" xfId="0" applyNumberForma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>
      <alignment vertical="center" wrapText="1"/>
    </xf>
    <xf numFmtId="166" fontId="23" fillId="0" borderId="2" xfId="6" applyNumberFormat="1" applyFont="1" applyFill="1" applyBorder="1" applyAlignment="1" applyProtection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center" vertical="center"/>
      <protection locked="0"/>
    </xf>
    <xf numFmtId="166" fontId="24" fillId="0" borderId="3" xfId="0" applyNumberFormat="1" applyFont="1" applyFill="1" applyBorder="1" applyAlignment="1" applyProtection="1">
      <alignment horizontal="center" vertical="center"/>
      <protection locked="0"/>
    </xf>
    <xf numFmtId="166" fontId="23" fillId="0" borderId="7" xfId="6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/>
      <protection locked="0"/>
    </xf>
    <xf numFmtId="16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vertical="center" wrapText="1"/>
    </xf>
    <xf numFmtId="166" fontId="22" fillId="0" borderId="35" xfId="0" applyNumberFormat="1" applyFont="1" applyFill="1" applyBorder="1" applyAlignment="1">
      <alignment horizontal="center" vertical="center" wrapText="1"/>
    </xf>
    <xf numFmtId="165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3" borderId="2" xfId="6" applyNumberFormat="1" applyFont="1" applyFill="1" applyBorder="1" applyAlignment="1" applyProtection="1">
      <alignment horizontal="center" vertical="center" wrapText="1"/>
      <protection locked="0"/>
    </xf>
    <xf numFmtId="165" fontId="23" fillId="3" borderId="2" xfId="6" applyNumberFormat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166" fontId="24" fillId="0" borderId="21" xfId="1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 wrapText="1"/>
    </xf>
    <xf numFmtId="0" fontId="1" fillId="0" borderId="2" xfId="1" applyBorder="1"/>
    <xf numFmtId="165" fontId="22" fillId="0" borderId="2" xfId="6" applyNumberFormat="1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167" fontId="28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1" applyFont="1" applyBorder="1" applyAlignment="1">
      <alignment wrapText="1"/>
    </xf>
    <xf numFmtId="0" fontId="22" fillId="0" borderId="2" xfId="1" applyFont="1" applyBorder="1"/>
    <xf numFmtId="0" fontId="0" fillId="0" borderId="0" xfId="0"/>
    <xf numFmtId="0" fontId="1" fillId="0" borderId="2" xfId="1" applyBorder="1"/>
    <xf numFmtId="0" fontId="1" fillId="0" borderId="3" xfId="1" applyBorder="1"/>
    <xf numFmtId="2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2" fontId="1" fillId="0" borderId="2" xfId="1" applyNumberFormat="1" applyBorder="1"/>
    <xf numFmtId="2" fontId="1" fillId="0" borderId="2" xfId="1" applyNumberFormat="1" applyBorder="1" applyAlignment="1"/>
    <xf numFmtId="166" fontId="20" fillId="5" borderId="6" xfId="1" applyNumberFormat="1" applyFont="1" applyFill="1" applyBorder="1" applyAlignment="1">
      <alignment horizontal="center" vertical="center"/>
    </xf>
    <xf numFmtId="165" fontId="1" fillId="6" borderId="6" xfId="1" applyNumberForma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wrapText="1"/>
    </xf>
    <xf numFmtId="0" fontId="22" fillId="0" borderId="6" xfId="1" applyFont="1" applyFill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right"/>
    </xf>
    <xf numFmtId="166" fontId="20" fillId="2" borderId="2" xfId="1" applyNumberFormat="1" applyFont="1" applyFill="1" applyBorder="1" applyAlignment="1"/>
    <xf numFmtId="0" fontId="22" fillId="0" borderId="20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166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6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40" fillId="0" borderId="2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/>
    <xf numFmtId="0" fontId="0" fillId="0" borderId="2" xfId="0" applyFont="1" applyFill="1" applyBorder="1" applyAlignment="1"/>
    <xf numFmtId="0" fontId="24" fillId="3" borderId="2" xfId="1" applyFont="1" applyFill="1" applyBorder="1"/>
    <xf numFmtId="0" fontId="24" fillId="3" borderId="3" xfId="1" applyFont="1" applyFill="1" applyBorder="1"/>
    <xf numFmtId="0" fontId="25" fillId="3" borderId="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top" wrapText="1"/>
    </xf>
    <xf numFmtId="0" fontId="37" fillId="0" borderId="21" xfId="0" applyFont="1" applyFill="1" applyBorder="1" applyAlignment="1">
      <alignment vertical="top" wrapText="1"/>
    </xf>
    <xf numFmtId="166" fontId="10" fillId="2" borderId="2" xfId="1" applyNumberFormat="1" applyFont="1" applyFill="1" applyBorder="1"/>
    <xf numFmtId="166" fontId="24" fillId="0" borderId="28" xfId="1" applyNumberFormat="1" applyFont="1" applyFill="1" applyBorder="1" applyAlignment="1">
      <alignment horizontal="center" vertical="center" wrapText="1"/>
    </xf>
    <xf numFmtId="166" fontId="24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 wrapText="1"/>
    </xf>
    <xf numFmtId="166" fontId="24" fillId="0" borderId="23" xfId="1" applyNumberFormat="1" applyFont="1" applyFill="1" applyBorder="1" applyAlignment="1">
      <alignment horizontal="center" vertical="center" wrapText="1"/>
    </xf>
    <xf numFmtId="166" fontId="25" fillId="0" borderId="23" xfId="1" applyNumberFormat="1" applyFont="1" applyFill="1" applyBorder="1" applyAlignment="1">
      <alignment horizontal="center" vertical="center" wrapText="1"/>
    </xf>
    <xf numFmtId="166" fontId="24" fillId="0" borderId="39" xfId="1" applyNumberFormat="1" applyFont="1" applyFill="1" applyBorder="1" applyAlignment="1">
      <alignment horizontal="center" vertical="center" wrapText="1"/>
    </xf>
    <xf numFmtId="166" fontId="24" fillId="0" borderId="6" xfId="1" applyNumberFormat="1" applyFont="1" applyFill="1" applyBorder="1" applyAlignment="1">
      <alignment horizontal="center" vertical="center" wrapText="1"/>
    </xf>
    <xf numFmtId="166" fontId="24" fillId="0" borderId="23" xfId="1" applyNumberFormat="1" applyFont="1" applyFill="1" applyBorder="1" applyAlignment="1">
      <alignment horizontal="center" vertical="center"/>
    </xf>
    <xf numFmtId="166" fontId="24" fillId="0" borderId="2" xfId="1" applyNumberFormat="1" applyFont="1" applyFill="1" applyBorder="1" applyAlignment="1">
      <alignment horizontal="center" vertical="center" wrapText="1"/>
    </xf>
    <xf numFmtId="166" fontId="24" fillId="0" borderId="21" xfId="1" applyNumberFormat="1" applyFont="1" applyFill="1" applyBorder="1" applyAlignment="1">
      <alignment horizontal="center" vertical="center" wrapText="1"/>
    </xf>
    <xf numFmtId="2" fontId="24" fillId="0" borderId="21" xfId="1" applyNumberFormat="1" applyFont="1" applyFill="1" applyBorder="1" applyAlignment="1">
      <alignment horizontal="center" vertical="center"/>
    </xf>
    <xf numFmtId="2" fontId="24" fillId="0" borderId="31" xfId="1" applyNumberFormat="1" applyFont="1" applyFill="1" applyBorder="1" applyAlignment="1">
      <alignment horizontal="center" vertical="center"/>
    </xf>
    <xf numFmtId="166" fontId="24" fillId="0" borderId="3" xfId="1" applyNumberFormat="1" applyFont="1" applyFill="1" applyBorder="1" applyAlignment="1">
      <alignment horizontal="center" vertical="center"/>
    </xf>
    <xf numFmtId="166" fontId="24" fillId="0" borderId="6" xfId="1" applyNumberFormat="1" applyFont="1" applyFill="1" applyBorder="1" applyAlignment="1">
      <alignment horizontal="center" vertical="center"/>
    </xf>
    <xf numFmtId="166" fontId="24" fillId="0" borderId="25" xfId="1" applyNumberFormat="1" applyFont="1" applyFill="1" applyBorder="1" applyAlignment="1">
      <alignment horizontal="center" vertical="center"/>
    </xf>
    <xf numFmtId="166" fontId="25" fillId="0" borderId="2" xfId="1" applyNumberFormat="1" applyFont="1" applyFill="1" applyBorder="1" applyAlignment="1">
      <alignment horizontal="center" vertical="center"/>
    </xf>
    <xf numFmtId="2" fontId="24" fillId="0" borderId="2" xfId="1" applyNumberFormat="1" applyFont="1" applyFill="1" applyBorder="1" applyAlignment="1">
      <alignment horizontal="center" vertical="center"/>
    </xf>
    <xf numFmtId="166" fontId="24" fillId="0" borderId="24" xfId="1" applyNumberFormat="1" applyFont="1" applyFill="1" applyBorder="1" applyAlignment="1">
      <alignment horizontal="center" vertical="center"/>
    </xf>
    <xf numFmtId="166" fontId="24" fillId="0" borderId="18" xfId="1" applyNumberFormat="1" applyFont="1" applyFill="1" applyBorder="1" applyAlignment="1">
      <alignment horizontal="center" vertical="center"/>
    </xf>
    <xf numFmtId="166" fontId="24" fillId="0" borderId="20" xfId="1" applyNumberFormat="1" applyFont="1" applyFill="1" applyBorder="1" applyAlignment="1">
      <alignment horizontal="center" vertical="center"/>
    </xf>
    <xf numFmtId="165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1" fillId="4" borderId="0" xfId="1" applyFill="1"/>
    <xf numFmtId="0" fontId="20" fillId="0" borderId="2" xfId="1" applyFont="1" applyBorder="1" applyAlignment="1">
      <alignment horizontal="left"/>
    </xf>
    <xf numFmtId="165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165" fontId="20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0" fillId="0" borderId="6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/>
    </xf>
    <xf numFmtId="165" fontId="20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4" fillId="0" borderId="2" xfId="1" applyFont="1" applyFill="1" applyBorder="1" applyAlignment="1">
      <alignment horizontal="left" vertical="center" wrapText="1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Border="1" applyAlignment="1">
      <alignment horizontal="left"/>
    </xf>
    <xf numFmtId="0" fontId="24" fillId="0" borderId="2" xfId="1" applyFont="1" applyBorder="1" applyProtection="1">
      <protection locked="0"/>
    </xf>
    <xf numFmtId="165" fontId="20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0" fillId="0" borderId="2" xfId="1" applyFont="1" applyBorder="1" applyAlignment="1">
      <alignment horizontal="left"/>
    </xf>
    <xf numFmtId="0" fontId="42" fillId="0" borderId="2" xfId="1" applyFont="1" applyFill="1" applyBorder="1" applyAlignment="1">
      <alignment horizontal="right" vertical="center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5" fontId="4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1" fillId="0" borderId="0" xfId="1"/>
    <xf numFmtId="0" fontId="9" fillId="0" borderId="6" xfId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>
      <alignment vertical="center" wrapText="1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166" fontId="2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9" fillId="3" borderId="2" xfId="1" applyFont="1" applyFill="1" applyBorder="1" applyAlignment="1" applyProtection="1">
      <alignment horizontal="center" vertical="center" wrapText="1"/>
      <protection locked="0"/>
    </xf>
    <xf numFmtId="165" fontId="26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 applyAlignment="1">
      <alignment horizontal="left"/>
    </xf>
    <xf numFmtId="0" fontId="0" fillId="3" borderId="2" xfId="0" applyFill="1" applyBorder="1" applyAlignment="1"/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 applyAlignment="1">
      <alignment horizontal="left" wrapText="1"/>
    </xf>
    <xf numFmtId="0" fontId="1" fillId="0" borderId="0" xfId="1" applyBorder="1" applyProtection="1">
      <protection locked="0"/>
    </xf>
    <xf numFmtId="0" fontId="20" fillId="0" borderId="6" xfId="1" applyFont="1" applyBorder="1" applyAlignment="1">
      <alignment wrapText="1"/>
    </xf>
    <xf numFmtId="166" fontId="20" fillId="2" borderId="2" xfId="1" applyNumberFormat="1" applyFont="1" applyFill="1" applyBorder="1"/>
    <xf numFmtId="166" fontId="20" fillId="0" borderId="2" xfId="1" applyNumberFormat="1" applyFont="1" applyFill="1" applyBorder="1"/>
    <xf numFmtId="0" fontId="29" fillId="0" borderId="6" xfId="1" applyFont="1" applyFill="1" applyBorder="1" applyAlignment="1">
      <alignment wrapText="1"/>
    </xf>
    <xf numFmtId="166" fontId="20" fillId="0" borderId="6" xfId="1" applyNumberFormat="1" applyFont="1" applyBorder="1"/>
    <xf numFmtId="166" fontId="20" fillId="0" borderId="25" xfId="1" applyNumberFormat="1" applyFont="1" applyBorder="1"/>
    <xf numFmtId="165" fontId="2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2" xfId="6" applyNumberFormat="1" applyFont="1" applyFill="1" applyBorder="1" applyAlignment="1" applyProtection="1">
      <alignment horizontal="center" vertical="center" wrapText="1"/>
    </xf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 applyProtection="1">
      <protection locked="0"/>
    </xf>
    <xf numFmtId="0" fontId="20" fillId="0" borderId="6" xfId="1" applyFont="1" applyBorder="1" applyAlignment="1">
      <alignment horizontal="left" wrapText="1"/>
    </xf>
    <xf numFmtId="0" fontId="23" fillId="0" borderId="4" xfId="1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vertical="top" wrapText="1"/>
    </xf>
    <xf numFmtId="0" fontId="22" fillId="0" borderId="39" xfId="0" applyFont="1" applyFill="1" applyBorder="1" applyAlignment="1">
      <alignment vertical="center" wrapText="1"/>
    </xf>
    <xf numFmtId="0" fontId="4" fillId="3" borderId="21" xfId="1" applyFont="1" applyFill="1" applyBorder="1" applyAlignment="1" applyProtection="1">
      <alignment horizontal="center" vertical="center" wrapText="1"/>
      <protection locked="0"/>
    </xf>
    <xf numFmtId="166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1" applyFont="1" applyFill="1" applyBorder="1" applyAlignment="1" applyProtection="1">
      <alignment horizontal="center" vertical="center" wrapText="1"/>
      <protection locked="0"/>
    </xf>
    <xf numFmtId="166" fontId="33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9" fillId="0" borderId="2" xfId="1" applyFont="1" applyFill="1" applyBorder="1" applyAlignment="1" applyProtection="1">
      <alignment horizontal="center" vertical="center" wrapText="1"/>
      <protection locked="0"/>
    </xf>
    <xf numFmtId="0" fontId="45" fillId="0" borderId="2" xfId="0" applyFont="1" applyFill="1" applyBorder="1" applyAlignment="1"/>
    <xf numFmtId="0" fontId="0" fillId="0" borderId="19" xfId="0" applyFont="1" applyFill="1" applyBorder="1" applyAlignment="1"/>
    <xf numFmtId="168" fontId="24" fillId="3" borderId="3" xfId="1" applyNumberFormat="1" applyFont="1" applyFill="1" applyBorder="1" applyAlignment="1">
      <alignment horizontal="center" vertical="center"/>
    </xf>
    <xf numFmtId="167" fontId="5" fillId="6" borderId="3" xfId="6" applyNumberFormat="1" applyFont="1" applyFill="1" applyBorder="1" applyAlignment="1" applyProtection="1">
      <alignment horizontal="center" vertical="center" wrapText="1"/>
    </xf>
    <xf numFmtId="167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2" xfId="6" applyNumberFormat="1" applyFont="1" applyFill="1" applyBorder="1" applyAlignment="1" applyProtection="1">
      <alignment horizontal="center" vertical="center" wrapText="1"/>
    </xf>
    <xf numFmtId="167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167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24" fillId="3" borderId="2" xfId="1" applyNumberFormat="1" applyFont="1" applyFill="1" applyBorder="1" applyAlignment="1">
      <alignment horizontal="center" vertical="center"/>
    </xf>
    <xf numFmtId="0" fontId="0" fillId="0" borderId="2" xfId="0" applyBorder="1"/>
    <xf numFmtId="166" fontId="29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14" fillId="6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166" fontId="44" fillId="0" borderId="6" xfId="14" applyNumberFormat="1" applyBorder="1"/>
    <xf numFmtId="166" fontId="44" fillId="0" borderId="25" xfId="14" applyNumberFormat="1" applyBorder="1"/>
    <xf numFmtId="0" fontId="20" fillId="0" borderId="2" xfId="8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20" fillId="0" borderId="2" xfId="8" applyFont="1" applyBorder="1"/>
    <xf numFmtId="168" fontId="29" fillId="3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0" fontId="20" fillId="0" borderId="2" xfId="1" applyFont="1" applyFill="1" applyBorder="1" applyAlignment="1">
      <alignment horizontal="left"/>
    </xf>
    <xf numFmtId="0" fontId="29" fillId="0" borderId="6" xfId="1" applyFont="1" applyFill="1" applyBorder="1" applyAlignment="1">
      <alignment horizontal="left" wrapText="1"/>
    </xf>
    <xf numFmtId="165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165" fontId="20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165" fontId="20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0" fontId="1" fillId="0" borderId="2" xfId="1" applyBorder="1"/>
    <xf numFmtId="0" fontId="22" fillId="0" borderId="2" xfId="1" applyFont="1" applyFill="1" applyBorder="1" applyAlignment="1">
      <alignment wrapText="1"/>
    </xf>
    <xf numFmtId="2" fontId="1" fillId="0" borderId="2" xfId="1" applyNumberFormat="1" applyBorder="1" applyAlignment="1">
      <alignment horizontal="center"/>
    </xf>
    <xf numFmtId="2" fontId="1" fillId="0" borderId="2" xfId="1" applyNumberFormat="1" applyBorder="1"/>
    <xf numFmtId="166" fontId="20" fillId="2" borderId="2" xfId="1" applyNumberFormat="1" applyFont="1" applyFill="1" applyBorder="1" applyAlignment="1"/>
    <xf numFmtId="0" fontId="20" fillId="0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/>
    </xf>
    <xf numFmtId="165" fontId="20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>
      <alignment vertical="center" wrapText="1"/>
    </xf>
    <xf numFmtId="166" fontId="20" fillId="2" borderId="6" xfId="1" applyNumberFormat="1" applyFont="1" applyFill="1" applyBorder="1" applyAlignment="1"/>
    <xf numFmtId="0" fontId="22" fillId="0" borderId="6" xfId="0" applyFont="1" applyFill="1" applyBorder="1" applyAlignment="1">
      <alignment vertical="center" wrapText="1"/>
    </xf>
    <xf numFmtId="0" fontId="22" fillId="0" borderId="0" xfId="1" applyFont="1" applyFill="1" applyAlignment="1">
      <alignment wrapText="1"/>
    </xf>
    <xf numFmtId="2" fontId="1" fillId="0" borderId="2" xfId="1" applyNumberForma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166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1" applyFont="1" applyFill="1" applyBorder="1" applyAlignment="1">
      <alignment horizontal="left" wrapText="1"/>
    </xf>
    <xf numFmtId="165" fontId="20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Protection="1">
      <protection locked="0"/>
    </xf>
    <xf numFmtId="165" fontId="20" fillId="0" borderId="2" xfId="1" applyNumberFormat="1" applyFont="1" applyFill="1" applyBorder="1" applyAlignment="1"/>
    <xf numFmtId="0" fontId="20" fillId="0" borderId="2" xfId="1" applyFont="1" applyFill="1" applyBorder="1" applyAlignment="1"/>
    <xf numFmtId="2" fontId="20" fillId="0" borderId="2" xfId="1" applyNumberFormat="1" applyFont="1" applyFill="1" applyBorder="1" applyAlignment="1"/>
    <xf numFmtId="166" fontId="20" fillId="2" borderId="6" xfId="1" applyNumberFormat="1" applyFont="1" applyFill="1" applyBorder="1"/>
    <xf numFmtId="166" fontId="20" fillId="2" borderId="2" xfId="1" applyNumberFormat="1" applyFont="1" applyFill="1" applyBorder="1" applyProtection="1">
      <protection locked="0"/>
    </xf>
    <xf numFmtId="166" fontId="29" fillId="3" borderId="6" xfId="1" applyNumberFormat="1" applyFont="1" applyFill="1" applyBorder="1"/>
    <xf numFmtId="166" fontId="29" fillId="3" borderId="25" xfId="1" applyNumberFormat="1" applyFont="1" applyFill="1" applyBorder="1"/>
    <xf numFmtId="166" fontId="29" fillId="3" borderId="2" xfId="1" applyNumberFormat="1" applyFont="1" applyFill="1" applyBorder="1"/>
    <xf numFmtId="0" fontId="29" fillId="3" borderId="2" xfId="1" applyFont="1" applyFill="1" applyBorder="1" applyProtection="1">
      <protection locked="0"/>
    </xf>
    <xf numFmtId="166" fontId="29" fillId="3" borderId="2" xfId="1" applyNumberFormat="1" applyFont="1" applyFill="1" applyBorder="1" applyProtection="1">
      <protection locked="0"/>
    </xf>
    <xf numFmtId="166" fontId="29" fillId="3" borderId="7" xfId="1" applyNumberFormat="1" applyFont="1" applyFill="1" applyBorder="1"/>
    <xf numFmtId="166" fontId="29" fillId="3" borderId="3" xfId="1" applyNumberFormat="1" applyFont="1" applyFill="1" applyBorder="1"/>
    <xf numFmtId="0" fontId="20" fillId="6" borderId="6" xfId="0" applyFont="1" applyFill="1" applyBorder="1" applyAlignment="1" applyProtection="1">
      <alignment horizontal="left" vertical="center" wrapText="1"/>
      <protection locked="0"/>
    </xf>
    <xf numFmtId="0" fontId="25" fillId="6" borderId="2" xfId="0" applyFont="1" applyFill="1" applyBorder="1" applyAlignment="1">
      <alignment horizontal="center" vertical="center" wrapText="1"/>
    </xf>
    <xf numFmtId="166" fontId="44" fillId="0" borderId="2" xfId="14" applyNumberFormat="1" applyBorder="1"/>
    <xf numFmtId="166" fontId="44" fillId="0" borderId="3" xfId="14" applyNumberFormat="1" applyBorder="1"/>
    <xf numFmtId="0" fontId="44" fillId="0" borderId="2" xfId="14" applyBorder="1"/>
    <xf numFmtId="0" fontId="20" fillId="2" borderId="2" xfId="1" applyFont="1" applyFill="1" applyBorder="1" applyAlignment="1">
      <alignment horizontal="left"/>
    </xf>
    <xf numFmtId="165" fontId="48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4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>
      <alignment horizontal="left"/>
    </xf>
    <xf numFmtId="0" fontId="29" fillId="0" borderId="6" xfId="1" applyFont="1" applyBorder="1" applyAlignment="1">
      <alignment horizontal="left" wrapText="1"/>
    </xf>
    <xf numFmtId="0" fontId="1" fillId="4" borderId="0" xfId="1" applyFill="1"/>
    <xf numFmtId="165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165" fontId="20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/>
    <xf numFmtId="0" fontId="20" fillId="0" borderId="6" xfId="1" applyFont="1" applyFill="1" applyBorder="1" applyAlignment="1">
      <alignment horizontal="left" wrapText="1"/>
    </xf>
    <xf numFmtId="165" fontId="20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/>
    </xf>
    <xf numFmtId="0" fontId="22" fillId="0" borderId="6" xfId="1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15" fillId="0" borderId="2" xfId="0" applyFont="1" applyFill="1" applyBorder="1" applyAlignment="1" applyProtection="1">
      <alignment horizontal="left" vertical="center" wrapText="1"/>
    </xf>
    <xf numFmtId="43" fontId="24" fillId="0" borderId="2" xfId="0" applyNumberFormat="1" applyFont="1" applyFill="1" applyBorder="1" applyAlignment="1" applyProtection="1">
      <alignment horizontal="center" vertical="center"/>
      <protection locked="0"/>
    </xf>
    <xf numFmtId="169" fontId="24" fillId="0" borderId="2" xfId="6" applyNumberFormat="1" applyFont="1" applyFill="1" applyBorder="1" applyAlignment="1" applyProtection="1">
      <alignment vertical="center" wrapText="1"/>
      <protection locked="0"/>
    </xf>
    <xf numFmtId="165" fontId="24" fillId="0" borderId="19" xfId="6" applyNumberFormat="1" applyFont="1" applyFill="1" applyBorder="1" applyAlignment="1" applyProtection="1">
      <alignment vertical="center" wrapText="1"/>
      <protection locked="0"/>
    </xf>
    <xf numFmtId="165" fontId="24" fillId="0" borderId="3" xfId="6" applyNumberFormat="1" applyFont="1" applyFill="1" applyBorder="1" applyAlignment="1" applyProtection="1">
      <alignment vertical="center" wrapText="1"/>
      <protection locked="0"/>
    </xf>
    <xf numFmtId="164" fontId="26" fillId="3" borderId="2" xfId="6" applyFont="1" applyFill="1" applyBorder="1" applyAlignment="1" applyProtection="1">
      <alignment horizontal="center" vertical="center" wrapText="1"/>
    </xf>
    <xf numFmtId="0" fontId="15" fillId="0" borderId="25" xfId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24" fillId="0" borderId="2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/>
    <xf numFmtId="0" fontId="11" fillId="0" borderId="36" xfId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/>
    <xf numFmtId="0" fontId="38" fillId="0" borderId="3" xfId="0" applyFont="1" applyFill="1" applyBorder="1" applyAlignment="1"/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2" fillId="0" borderId="6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/>
    <xf numFmtId="0" fontId="0" fillId="0" borderId="28" xfId="0" applyFill="1" applyBorder="1" applyAlignment="1"/>
    <xf numFmtId="0" fontId="9" fillId="2" borderId="31" xfId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/>
    <xf numFmtId="0" fontId="0" fillId="6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 wrapText="1"/>
      <protection locked="0"/>
    </xf>
    <xf numFmtId="0" fontId="20" fillId="0" borderId="20" xfId="1" applyFont="1" applyFill="1" applyBorder="1" applyAlignment="1" applyProtection="1">
      <alignment horizontal="center" vertical="center" wrapText="1"/>
      <protection locked="0"/>
    </xf>
    <xf numFmtId="0" fontId="20" fillId="0" borderId="21" xfId="1" applyFont="1" applyFill="1" applyBorder="1" applyAlignment="1" applyProtection="1">
      <alignment horizontal="center" vertical="center" wrapText="1"/>
      <protection locked="0"/>
    </xf>
    <xf numFmtId="0" fontId="11" fillId="3" borderId="6" xfId="1" applyFont="1" applyFill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3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 wrapText="1"/>
    </xf>
    <xf numFmtId="0" fontId="24" fillId="0" borderId="23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0" fillId="0" borderId="2" xfId="0" applyFill="1" applyBorder="1" applyAlignment="1"/>
    <xf numFmtId="0" fontId="0" fillId="0" borderId="0" xfId="0" applyFill="1" applyAlignment="1"/>
    <xf numFmtId="0" fontId="20" fillId="6" borderId="6" xfId="7" applyFont="1" applyFill="1" applyBorder="1" applyAlignment="1" applyProtection="1">
      <alignment horizontal="right" vertical="top" wrapText="1"/>
    </xf>
    <xf numFmtId="0" fontId="20" fillId="6" borderId="20" xfId="7" applyFont="1" applyFill="1" applyBorder="1" applyAlignment="1" applyProtection="1">
      <alignment horizontal="right" vertical="top" wrapText="1"/>
    </xf>
    <xf numFmtId="0" fontId="20" fillId="6" borderId="21" xfId="7" applyFont="1" applyFill="1" applyBorder="1" applyAlignment="1" applyProtection="1">
      <alignment horizontal="right" vertical="top" wrapText="1"/>
    </xf>
    <xf numFmtId="0" fontId="9" fillId="2" borderId="30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18" xfId="0" applyFill="1" applyBorder="1" applyAlignment="1"/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1" xfId="1" applyFont="1" applyFill="1" applyBorder="1" applyAlignment="1" applyProtection="1">
      <alignment horizontal="center" vertical="top"/>
      <protection locked="0"/>
    </xf>
    <xf numFmtId="0" fontId="7" fillId="2" borderId="10" xfId="1" applyFont="1" applyFill="1" applyBorder="1" applyAlignment="1" applyProtection="1">
      <alignment horizontal="center" vertical="top"/>
      <protection locked="0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31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/>
    <xf numFmtId="0" fontId="0" fillId="0" borderId="4" xfId="0" applyFill="1" applyBorder="1" applyAlignment="1"/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15" fillId="0" borderId="6" xfId="1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6" fontId="24" fillId="0" borderId="2" xfId="1" applyNumberFormat="1" applyFont="1" applyFill="1" applyBorder="1"/>
    <xf numFmtId="0" fontId="24" fillId="0" borderId="2" xfId="1" applyFont="1" applyFill="1" applyBorder="1"/>
    <xf numFmtId="0" fontId="49" fillId="3" borderId="2" xfId="1" applyFont="1" applyFill="1" applyBorder="1" applyProtection="1">
      <protection locked="0"/>
    </xf>
    <xf numFmtId="0" fontId="28" fillId="3" borderId="6" xfId="1" applyFont="1" applyFill="1" applyBorder="1" applyAlignment="1" applyProtection="1">
      <alignment horizontal="center" vertical="center" wrapText="1"/>
      <protection locked="0"/>
    </xf>
    <xf numFmtId="168" fontId="20" fillId="5" borderId="2" xfId="1" applyNumberFormat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left"/>
    </xf>
    <xf numFmtId="0" fontId="24" fillId="0" borderId="2" xfId="1" applyFont="1" applyBorder="1" applyAlignment="1">
      <alignment horizontal="left" wrapText="1"/>
    </xf>
    <xf numFmtId="0" fontId="24" fillId="0" borderId="2" xfId="1" applyFont="1" applyBorder="1" applyAlignment="1">
      <alignment horizontal="left"/>
    </xf>
    <xf numFmtId="0" fontId="24" fillId="0" borderId="21" xfId="1" applyFont="1" applyBorder="1" applyAlignment="1">
      <alignment horizontal="left" wrapText="1"/>
    </xf>
    <xf numFmtId="166" fontId="20" fillId="2" borderId="2" xfId="1" applyNumberFormat="1" applyFont="1" applyFill="1" applyBorder="1" applyAlignment="1"/>
    <xf numFmtId="166" fontId="20" fillId="2" borderId="2" xfId="1" applyNumberFormat="1" applyFont="1" applyFill="1" applyBorder="1" applyAlignment="1"/>
    <xf numFmtId="0" fontId="1" fillId="0" borderId="0" xfId="1"/>
    <xf numFmtId="166" fontId="20" fillId="2" borderId="2" xfId="1" applyNumberFormat="1" applyFont="1" applyFill="1" applyBorder="1" applyAlignment="1"/>
    <xf numFmtId="0" fontId="17" fillId="0" borderId="6" xfId="0" applyFont="1" applyFill="1" applyBorder="1" applyAlignment="1">
      <alignment vertical="center" wrapText="1"/>
    </xf>
    <xf numFmtId="0" fontId="24" fillId="0" borderId="2" xfId="1" applyFont="1" applyBorder="1" applyAlignment="1">
      <alignment horizontal="left"/>
    </xf>
    <xf numFmtId="0" fontId="24" fillId="0" borderId="21" xfId="1" applyFont="1" applyBorder="1" applyAlignment="1">
      <alignment horizontal="left" wrapText="1"/>
    </xf>
    <xf numFmtId="0" fontId="22" fillId="3" borderId="2" xfId="0" applyFont="1" applyFill="1" applyBorder="1" applyAlignment="1">
      <alignment vertical="center" wrapText="1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166" fontId="20" fillId="2" borderId="2" xfId="1" applyNumberFormat="1" applyFont="1" applyFill="1" applyBorder="1" applyAlignment="1"/>
    <xf numFmtId="0" fontId="20" fillId="0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left"/>
    </xf>
    <xf numFmtId="166" fontId="29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wrapText="1"/>
    </xf>
    <xf numFmtId="0" fontId="22" fillId="0" borderId="0" xfId="1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22" fillId="0" borderId="0" xfId="1" applyFont="1" applyBorder="1"/>
    <xf numFmtId="0" fontId="22" fillId="0" borderId="0" xfId="1" applyFont="1" applyBorder="1" applyAlignment="1">
      <alignment wrapText="1"/>
    </xf>
  </cellXfs>
  <cellStyles count="17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Обычный 2 2" xfId="8"/>
    <cellStyle name="Обычный 2 2 2" xfId="11"/>
    <cellStyle name="Обычный 2 2 3" xfId="14"/>
    <cellStyle name="Финансовый" xfId="6" builtinId="3"/>
    <cellStyle name="Финансовый 2" xfId="2"/>
    <cellStyle name="Финансовый 2 2" xfId="9"/>
    <cellStyle name="Финансовый 2 2 2" xfId="12"/>
    <cellStyle name="Финансовый 2 2 3" xfId="15"/>
    <cellStyle name="Финансовый 3" xfId="3"/>
    <cellStyle name="Финансовый 3 2" xfId="10"/>
    <cellStyle name="Финансовый 3 2 2" xfId="13"/>
    <cellStyle name="Финансовый 3 2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80"/>
  <sheetViews>
    <sheetView tabSelected="1" view="pageBreakPreview" topLeftCell="A434" zoomScaleNormal="66" zoomScaleSheetLayoutView="100" workbookViewId="0">
      <selection activeCell="A477" sqref="A477:N477"/>
    </sheetView>
  </sheetViews>
  <sheetFormatPr defaultRowHeight="12.75" x14ac:dyDescent="0.2"/>
  <cols>
    <col min="1" max="1" width="29.140625" style="7" customWidth="1"/>
    <col min="2" max="2" width="37.85546875" style="3" customWidth="1"/>
    <col min="3" max="3" width="18.5703125" style="3" customWidth="1"/>
    <col min="4" max="4" width="22.2851562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1.7109375" style="3" customWidth="1"/>
    <col min="14" max="14" width="13.28515625" style="3" customWidth="1"/>
    <col min="15" max="15" width="12.42578125" style="3" bestFit="1" customWidth="1"/>
    <col min="16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5" s="1" customFormat="1" ht="12.75" customHeight="1" x14ac:dyDescent="0.2">
      <c r="A1" s="657" t="s">
        <v>188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454"/>
    </row>
    <row r="2" spans="1:15" s="1" customFormat="1" ht="21" customHeight="1" x14ac:dyDescent="0.2">
      <c r="A2" s="659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454"/>
    </row>
    <row r="3" spans="1:15" s="1" customFormat="1" ht="7.5" customHeight="1" x14ac:dyDescent="0.2">
      <c r="A3" s="660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454"/>
    </row>
    <row r="4" spans="1:15" s="2" customFormat="1" ht="87.75" customHeight="1" x14ac:dyDescent="0.25">
      <c r="A4" s="662" t="s">
        <v>11</v>
      </c>
      <c r="B4" s="665" t="s">
        <v>4</v>
      </c>
      <c r="C4" s="673" t="s">
        <v>89</v>
      </c>
      <c r="D4" s="665" t="s">
        <v>3</v>
      </c>
      <c r="E4" s="665" t="s">
        <v>5</v>
      </c>
      <c r="F4" s="669" t="s">
        <v>6</v>
      </c>
      <c r="G4" s="670"/>
      <c r="H4" s="670"/>
      <c r="I4" s="670"/>
      <c r="J4" s="670"/>
      <c r="K4" s="670"/>
      <c r="L4" s="670"/>
      <c r="M4" s="670"/>
      <c r="N4" s="671"/>
      <c r="O4" s="672"/>
    </row>
    <row r="5" spans="1:15" s="2" customFormat="1" ht="18.75" x14ac:dyDescent="0.2">
      <c r="A5" s="663"/>
      <c r="B5" s="665"/>
      <c r="C5" s="574"/>
      <c r="D5" s="665"/>
      <c r="E5" s="665"/>
      <c r="F5" s="665" t="s">
        <v>7</v>
      </c>
      <c r="G5" s="665"/>
      <c r="H5" s="665" t="s">
        <v>8</v>
      </c>
      <c r="I5" s="665"/>
      <c r="J5" s="667" t="s">
        <v>9</v>
      </c>
      <c r="K5" s="668"/>
      <c r="L5" s="665" t="s">
        <v>10</v>
      </c>
      <c r="M5" s="667"/>
      <c r="N5" s="665" t="s">
        <v>74</v>
      </c>
      <c r="O5" s="665"/>
    </row>
    <row r="6" spans="1:15" s="2" customFormat="1" ht="37.5" customHeight="1" thickBot="1" x14ac:dyDescent="0.25">
      <c r="A6" s="664"/>
      <c r="B6" s="666"/>
      <c r="C6" s="642"/>
      <c r="D6" s="666"/>
      <c r="E6" s="666"/>
      <c r="F6" s="91" t="s">
        <v>0</v>
      </c>
      <c r="G6" s="91" t="s">
        <v>1</v>
      </c>
      <c r="H6" s="91" t="s">
        <v>0</v>
      </c>
      <c r="I6" s="91" t="s">
        <v>1</v>
      </c>
      <c r="J6" s="91" t="s">
        <v>0</v>
      </c>
      <c r="K6" s="91" t="s">
        <v>1</v>
      </c>
      <c r="L6" s="112" t="s">
        <v>0</v>
      </c>
      <c r="M6" s="113" t="s">
        <v>1</v>
      </c>
      <c r="N6" s="111" t="s">
        <v>0</v>
      </c>
      <c r="O6" s="111" t="s">
        <v>1</v>
      </c>
    </row>
    <row r="7" spans="1:15" s="1" customFormat="1" ht="30" customHeight="1" thickBot="1" x14ac:dyDescent="0.3">
      <c r="A7" s="630" t="s">
        <v>13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2"/>
      <c r="O7" s="633"/>
    </row>
    <row r="8" spans="1:15" s="1" customFormat="1" ht="57.75" customHeight="1" thickBot="1" x14ac:dyDescent="0.25">
      <c r="A8" s="628"/>
      <c r="B8" s="329" t="s">
        <v>85</v>
      </c>
      <c r="C8" s="331"/>
      <c r="D8" s="204">
        <v>6631.8</v>
      </c>
      <c r="E8" s="204">
        <v>6631.8</v>
      </c>
      <c r="F8" s="204">
        <v>1558.1</v>
      </c>
      <c r="G8" s="204">
        <v>1558.1</v>
      </c>
      <c r="H8" s="204">
        <v>1657.6</v>
      </c>
      <c r="I8" s="204">
        <v>1531.5</v>
      </c>
      <c r="J8" s="204">
        <v>1657.6</v>
      </c>
      <c r="K8" s="204">
        <v>1597.5</v>
      </c>
      <c r="L8" s="204">
        <v>1758.5</v>
      </c>
      <c r="M8" s="204">
        <v>1882.1</v>
      </c>
      <c r="N8" s="204">
        <f>SUM(F8+H8+J8+L8)</f>
        <v>6631.7999999999993</v>
      </c>
      <c r="O8" s="205">
        <f t="shared" ref="O8:O9" si="0">SUM(G8+I8+K8+M8)</f>
        <v>6569.2000000000007</v>
      </c>
    </row>
    <row r="9" spans="1:15" s="1" customFormat="1" ht="42" customHeight="1" x14ac:dyDescent="0.2">
      <c r="A9" s="629"/>
      <c r="B9" s="330" t="s">
        <v>123</v>
      </c>
      <c r="C9" s="332"/>
      <c r="D9" s="333">
        <v>3441.1</v>
      </c>
      <c r="E9" s="333">
        <v>3441.1</v>
      </c>
      <c r="F9" s="204">
        <v>50.3</v>
      </c>
      <c r="G9" s="204">
        <v>50.3</v>
      </c>
      <c r="H9" s="204">
        <v>827.9</v>
      </c>
      <c r="I9" s="204">
        <v>1473.7</v>
      </c>
      <c r="J9" s="204">
        <v>827.9</v>
      </c>
      <c r="K9" s="204">
        <v>1345</v>
      </c>
      <c r="L9" s="204">
        <v>1735</v>
      </c>
      <c r="M9" s="204">
        <v>570.9</v>
      </c>
      <c r="N9" s="204">
        <f>SUM(F9+H9+J9+L9)</f>
        <v>3441.1</v>
      </c>
      <c r="O9" s="323">
        <f t="shared" si="0"/>
        <v>3439.9</v>
      </c>
    </row>
    <row r="10" spans="1:15" s="1" customFormat="1" ht="38.25" customHeight="1" x14ac:dyDescent="0.2">
      <c r="A10" s="60" t="s">
        <v>2</v>
      </c>
      <c r="B10" s="61"/>
      <c r="C10" s="58"/>
      <c r="D10" s="327">
        <f t="shared" ref="D10:O10" si="1">SUM(D8:D9)</f>
        <v>10072.9</v>
      </c>
      <c r="E10" s="327">
        <f t="shared" si="1"/>
        <v>10072.9</v>
      </c>
      <c r="F10" s="327">
        <f t="shared" si="1"/>
        <v>1608.3999999999999</v>
      </c>
      <c r="G10" s="327">
        <f t="shared" si="1"/>
        <v>1608.3999999999999</v>
      </c>
      <c r="H10" s="327">
        <f t="shared" si="1"/>
        <v>2485.5</v>
      </c>
      <c r="I10" s="327">
        <f t="shared" si="1"/>
        <v>3005.2</v>
      </c>
      <c r="J10" s="327">
        <f t="shared" si="1"/>
        <v>2485.5</v>
      </c>
      <c r="K10" s="327">
        <f t="shared" si="1"/>
        <v>2942.5</v>
      </c>
      <c r="L10" s="327">
        <f t="shared" si="1"/>
        <v>3493.5</v>
      </c>
      <c r="M10" s="327">
        <f t="shared" si="1"/>
        <v>2453</v>
      </c>
      <c r="N10" s="327">
        <f t="shared" si="1"/>
        <v>10072.9</v>
      </c>
      <c r="O10" s="87">
        <f t="shared" si="1"/>
        <v>10009.1</v>
      </c>
    </row>
    <row r="11" spans="1:15" s="1" customFormat="1" ht="31.5" customHeight="1" x14ac:dyDescent="0.2">
      <c r="A11" s="59"/>
      <c r="B11" s="39" t="s">
        <v>58</v>
      </c>
      <c r="C11" s="39"/>
      <c r="D11" s="62"/>
      <c r="E11" s="62"/>
      <c r="F11" s="62"/>
      <c r="G11" s="62"/>
      <c r="H11" s="62"/>
      <c r="I11" s="62"/>
      <c r="J11" s="62"/>
      <c r="K11" s="62"/>
      <c r="L11" s="62"/>
      <c r="M11" s="324"/>
      <c r="N11" s="153"/>
      <c r="O11" s="153"/>
    </row>
    <row r="12" spans="1:15" s="1" customFormat="1" ht="30" customHeight="1" x14ac:dyDescent="0.2">
      <c r="A12" s="57"/>
      <c r="B12" s="39" t="s">
        <v>59</v>
      </c>
      <c r="C12" s="264"/>
      <c r="D12" s="87">
        <f t="shared" ref="D12:M12" si="2">SUM(D8:D9)</f>
        <v>10072.9</v>
      </c>
      <c r="E12" s="87">
        <f t="shared" si="2"/>
        <v>10072.9</v>
      </c>
      <c r="F12" s="87">
        <f t="shared" si="2"/>
        <v>1608.3999999999999</v>
      </c>
      <c r="G12" s="87">
        <f t="shared" si="2"/>
        <v>1608.3999999999999</v>
      </c>
      <c r="H12" s="87">
        <f t="shared" si="2"/>
        <v>2485.5</v>
      </c>
      <c r="I12" s="87">
        <f t="shared" si="2"/>
        <v>3005.2</v>
      </c>
      <c r="J12" s="87">
        <f t="shared" si="2"/>
        <v>2485.5</v>
      </c>
      <c r="K12" s="87">
        <f t="shared" si="2"/>
        <v>2942.5</v>
      </c>
      <c r="L12" s="87">
        <f t="shared" si="2"/>
        <v>3493.5</v>
      </c>
      <c r="M12" s="87">
        <f t="shared" si="2"/>
        <v>2453</v>
      </c>
      <c r="N12" s="153">
        <f>SUM(F12+H12+J12+L12)</f>
        <v>10072.9</v>
      </c>
      <c r="O12" s="153">
        <f>SUM(G12+I12+K12+M12)</f>
        <v>10009.099999999999</v>
      </c>
    </row>
    <row r="13" spans="1:15" s="1" customFormat="1" ht="129.75" hidden="1" customHeight="1" thickBot="1" x14ac:dyDescent="0.2">
      <c r="A13" s="57"/>
      <c r="B13" s="58"/>
      <c r="C13" s="58"/>
      <c r="D13" s="62"/>
      <c r="E13" s="62"/>
      <c r="F13" s="62"/>
      <c r="G13" s="62"/>
      <c r="H13" s="62"/>
      <c r="I13" s="62"/>
      <c r="J13" s="62"/>
      <c r="K13" s="62"/>
      <c r="L13" s="62"/>
      <c r="M13" s="324"/>
      <c r="N13" s="63"/>
      <c r="O13" s="63"/>
    </row>
    <row r="14" spans="1:15" s="1" customFormat="1" ht="45.75" customHeight="1" thickBot="1" x14ac:dyDescent="0.25">
      <c r="A14" s="28"/>
      <c r="B14" s="40" t="s">
        <v>60</v>
      </c>
      <c r="C14" s="26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1"/>
      <c r="O14" s="63"/>
    </row>
    <row r="15" spans="1:15" ht="29.25" customHeight="1" thickBot="1" x14ac:dyDescent="0.3">
      <c r="A15" s="653" t="s">
        <v>14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5"/>
      <c r="O15" s="656"/>
    </row>
    <row r="16" spans="1:15" ht="45.75" thickBot="1" x14ac:dyDescent="0.25">
      <c r="A16" s="444"/>
      <c r="B16" s="326" t="s">
        <v>44</v>
      </c>
      <c r="C16" s="328"/>
      <c r="D16" s="204">
        <v>1813.8</v>
      </c>
      <c r="E16" s="204">
        <v>1813.8</v>
      </c>
      <c r="F16" s="204">
        <v>185.4</v>
      </c>
      <c r="G16" s="204">
        <v>185.4</v>
      </c>
      <c r="H16" s="204">
        <v>542.79999999999995</v>
      </c>
      <c r="I16" s="204">
        <v>622.79999999999995</v>
      </c>
      <c r="J16" s="204">
        <v>542.79999999999995</v>
      </c>
      <c r="K16" s="204">
        <v>387.2</v>
      </c>
      <c r="L16" s="204">
        <v>542.79999999999995</v>
      </c>
      <c r="M16" s="204">
        <v>460</v>
      </c>
      <c r="N16" s="204">
        <f t="shared" ref="N16:O16" si="3">SUM(F16+H16+J16+L16)</f>
        <v>1813.8</v>
      </c>
      <c r="O16" s="223">
        <f t="shared" si="3"/>
        <v>1655.3999999999999</v>
      </c>
    </row>
    <row r="17" spans="1:15" ht="18.75" x14ac:dyDescent="0.2">
      <c r="A17" s="26" t="s">
        <v>2</v>
      </c>
      <c r="B17" s="65"/>
      <c r="C17" s="266"/>
      <c r="D17" s="64">
        <f t="shared" ref="D17:O17" si="4">SUM(D16)</f>
        <v>1813.8</v>
      </c>
      <c r="E17" s="64">
        <f t="shared" si="4"/>
        <v>1813.8</v>
      </c>
      <c r="F17" s="64">
        <f t="shared" si="4"/>
        <v>185.4</v>
      </c>
      <c r="G17" s="64">
        <f t="shared" si="4"/>
        <v>185.4</v>
      </c>
      <c r="H17" s="64">
        <f t="shared" si="4"/>
        <v>542.79999999999995</v>
      </c>
      <c r="I17" s="64">
        <f t="shared" si="4"/>
        <v>622.79999999999995</v>
      </c>
      <c r="J17" s="64">
        <f t="shared" si="4"/>
        <v>542.79999999999995</v>
      </c>
      <c r="K17" s="64">
        <f t="shared" si="4"/>
        <v>387.2</v>
      </c>
      <c r="L17" s="64">
        <f t="shared" si="4"/>
        <v>542.79999999999995</v>
      </c>
      <c r="M17" s="64">
        <f t="shared" si="4"/>
        <v>460</v>
      </c>
      <c r="N17" s="327">
        <f t="shared" si="4"/>
        <v>1813.8</v>
      </c>
      <c r="O17" s="327">
        <f t="shared" si="4"/>
        <v>1655.3999999999999</v>
      </c>
    </row>
    <row r="18" spans="1:15" ht="15.75" x14ac:dyDescent="0.2">
      <c r="A18" s="609"/>
      <c r="B18" s="65" t="s">
        <v>58</v>
      </c>
      <c r="C18" s="65"/>
      <c r="D18" s="66"/>
      <c r="E18" s="66"/>
      <c r="F18" s="66"/>
      <c r="G18" s="66"/>
      <c r="H18" s="66"/>
      <c r="I18" s="67"/>
      <c r="J18" s="66"/>
      <c r="K18" s="67"/>
      <c r="L18" s="66"/>
      <c r="M18" s="115"/>
      <c r="N18" s="68"/>
      <c r="O18" s="156"/>
    </row>
    <row r="19" spans="1:15" ht="15.75" x14ac:dyDescent="0.2">
      <c r="A19" s="610"/>
      <c r="B19" s="65" t="s">
        <v>59</v>
      </c>
      <c r="C19" s="65"/>
      <c r="D19" s="87">
        <f t="shared" ref="D19:M19" si="5">SUM(D17+D18)</f>
        <v>1813.8</v>
      </c>
      <c r="E19" s="96">
        <f t="shared" si="5"/>
        <v>1813.8</v>
      </c>
      <c r="F19" s="96">
        <f t="shared" si="5"/>
        <v>185.4</v>
      </c>
      <c r="G19" s="96">
        <f t="shared" si="5"/>
        <v>185.4</v>
      </c>
      <c r="H19" s="96">
        <f t="shared" si="5"/>
        <v>542.79999999999995</v>
      </c>
      <c r="I19" s="87">
        <f t="shared" si="5"/>
        <v>622.79999999999995</v>
      </c>
      <c r="J19" s="87">
        <f t="shared" si="5"/>
        <v>542.79999999999995</v>
      </c>
      <c r="K19" s="87">
        <f t="shared" si="5"/>
        <v>387.2</v>
      </c>
      <c r="L19" s="87">
        <f t="shared" si="5"/>
        <v>542.79999999999995</v>
      </c>
      <c r="M19" s="116">
        <f t="shared" si="5"/>
        <v>460</v>
      </c>
      <c r="N19" s="87">
        <f>SUM(N16)</f>
        <v>1813.8</v>
      </c>
      <c r="O19" s="327">
        <f>SUM(O16)</f>
        <v>1655.3999999999999</v>
      </c>
    </row>
    <row r="20" spans="1:15" s="1" customFormat="1" ht="36.75" customHeight="1" thickBot="1" x14ac:dyDescent="0.25">
      <c r="A20" s="611"/>
      <c r="B20" s="40" t="s">
        <v>60</v>
      </c>
      <c r="C20" s="264"/>
      <c r="D20" s="64"/>
      <c r="E20" s="64"/>
      <c r="F20" s="64"/>
      <c r="G20" s="64"/>
      <c r="H20" s="64"/>
      <c r="I20" s="64"/>
      <c r="J20" s="64"/>
      <c r="K20" s="64"/>
      <c r="L20" s="64"/>
      <c r="M20" s="114"/>
      <c r="N20" s="50"/>
      <c r="O20" s="63"/>
    </row>
    <row r="21" spans="1:15" ht="27.75" customHeight="1" x14ac:dyDescent="0.25">
      <c r="A21" s="603" t="s">
        <v>15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5"/>
      <c r="O21" s="606"/>
    </row>
    <row r="22" spans="1:15" ht="35.25" customHeight="1" x14ac:dyDescent="0.2">
      <c r="A22" s="578" t="s">
        <v>16</v>
      </c>
      <c r="B22" s="497" t="s">
        <v>189</v>
      </c>
      <c r="C22" s="621"/>
      <c r="D22" s="542">
        <v>300</v>
      </c>
      <c r="E22" s="542">
        <f t="shared" ref="E22:E27" si="6">F22+H22+J22+L22</f>
        <v>300</v>
      </c>
      <c r="F22" s="542"/>
      <c r="G22" s="542"/>
      <c r="H22" s="542">
        <v>150</v>
      </c>
      <c r="I22" s="542">
        <v>150</v>
      </c>
      <c r="J22" s="542"/>
      <c r="K22" s="543"/>
      <c r="L22" s="543">
        <v>150</v>
      </c>
      <c r="M22" s="542">
        <v>150</v>
      </c>
      <c r="N22" s="456">
        <f>SUM(F22+H22+J22+L22)</f>
        <v>300</v>
      </c>
      <c r="O22" s="456">
        <f>SUM(G22+I22+K22+M22)</f>
        <v>300</v>
      </c>
    </row>
    <row r="23" spans="1:15" ht="96.75" customHeight="1" x14ac:dyDescent="0.2">
      <c r="A23" s="612"/>
      <c r="B23" s="497" t="s">
        <v>190</v>
      </c>
      <c r="C23" s="622"/>
      <c r="D23" s="542">
        <v>300</v>
      </c>
      <c r="E23" s="542">
        <f t="shared" si="6"/>
        <v>300</v>
      </c>
      <c r="F23" s="542"/>
      <c r="G23" s="542"/>
      <c r="H23" s="542"/>
      <c r="I23" s="542"/>
      <c r="J23" s="542">
        <v>20</v>
      </c>
      <c r="K23" s="543">
        <v>16.399999999999999</v>
      </c>
      <c r="L23" s="543">
        <f>300-20</f>
        <v>280</v>
      </c>
      <c r="M23" s="542"/>
      <c r="N23" s="456">
        <f>SUM(F23+H23+J23+L23)</f>
        <v>300</v>
      </c>
      <c r="O23" s="456">
        <f>SUM(G23+I23+K23+M23)</f>
        <v>16.399999999999999</v>
      </c>
    </row>
    <row r="24" spans="1:15" ht="43.5" customHeight="1" x14ac:dyDescent="0.2">
      <c r="A24" s="612"/>
      <c r="B24" s="497" t="s">
        <v>191</v>
      </c>
      <c r="C24" s="622"/>
      <c r="D24" s="542">
        <v>272.60000000000002</v>
      </c>
      <c r="E24" s="542">
        <f t="shared" si="6"/>
        <v>272.60000000000002</v>
      </c>
      <c r="F24" s="542">
        <v>32.700000000000003</v>
      </c>
      <c r="G24" s="542">
        <v>32.700000000000003</v>
      </c>
      <c r="H24" s="542">
        <v>82.2</v>
      </c>
      <c r="I24" s="542">
        <v>82.2</v>
      </c>
      <c r="J24" s="542">
        <v>35.799999999999997</v>
      </c>
      <c r="K24" s="543">
        <v>35.799999999999997</v>
      </c>
      <c r="L24" s="542">
        <f>320-12.7-82.2-35.8-67.4</f>
        <v>121.9</v>
      </c>
      <c r="M24" s="542">
        <v>121.9</v>
      </c>
      <c r="N24" s="456">
        <f t="shared" ref="N24:O27" si="7">SUM(F24+H24+J24+L24)</f>
        <v>272.60000000000002</v>
      </c>
      <c r="O24" s="456">
        <f t="shared" si="7"/>
        <v>272.60000000000002</v>
      </c>
    </row>
    <row r="25" spans="1:15" ht="43.5" customHeight="1" x14ac:dyDescent="0.2">
      <c r="A25" s="612"/>
      <c r="B25" s="497" t="s">
        <v>192</v>
      </c>
      <c r="C25" s="622"/>
      <c r="D25" s="542">
        <v>21.9</v>
      </c>
      <c r="E25" s="542">
        <f t="shared" si="6"/>
        <v>21.9</v>
      </c>
      <c r="F25" s="542"/>
      <c r="G25" s="542"/>
      <c r="H25" s="542">
        <f>200-200</f>
        <v>0</v>
      </c>
      <c r="I25" s="542"/>
      <c r="J25" s="542">
        <v>21.9</v>
      </c>
      <c r="K25" s="543">
        <v>21.9</v>
      </c>
      <c r="L25" s="543">
        <f>500+300-21.9-778.1</f>
        <v>0</v>
      </c>
      <c r="M25" s="544"/>
      <c r="N25" s="456">
        <f t="shared" si="7"/>
        <v>21.9</v>
      </c>
      <c r="O25" s="456">
        <f t="shared" si="7"/>
        <v>21.9</v>
      </c>
    </row>
    <row r="26" spans="1:15" ht="57" customHeight="1" x14ac:dyDescent="0.2">
      <c r="A26" s="612"/>
      <c r="B26" s="497" t="s">
        <v>193</v>
      </c>
      <c r="C26" s="622"/>
      <c r="D26" s="542">
        <v>113.7</v>
      </c>
      <c r="E26" s="542">
        <f t="shared" si="6"/>
        <v>113.70000000000002</v>
      </c>
      <c r="F26" s="542">
        <v>15</v>
      </c>
      <c r="G26" s="542"/>
      <c r="H26" s="542">
        <v>11.8</v>
      </c>
      <c r="I26" s="542">
        <v>26.8</v>
      </c>
      <c r="J26" s="542">
        <v>26.9</v>
      </c>
      <c r="K26" s="543">
        <v>26.9</v>
      </c>
      <c r="L26" s="543">
        <f>129-11.8-26.9-30.3</f>
        <v>60.000000000000014</v>
      </c>
      <c r="M26" s="542">
        <v>60</v>
      </c>
      <c r="N26" s="456">
        <f t="shared" si="7"/>
        <v>113.70000000000002</v>
      </c>
      <c r="O26" s="456">
        <f t="shared" si="7"/>
        <v>113.7</v>
      </c>
    </row>
    <row r="27" spans="1:15" ht="123" customHeight="1" thickBot="1" x14ac:dyDescent="0.25">
      <c r="A27" s="612"/>
      <c r="B27" s="497" t="s">
        <v>194</v>
      </c>
      <c r="C27" s="623"/>
      <c r="D27" s="542">
        <f>1818.2-57+56.4+247.7</f>
        <v>2065.3000000000002</v>
      </c>
      <c r="E27" s="542">
        <f t="shared" si="6"/>
        <v>2065.3000000000002</v>
      </c>
      <c r="F27" s="542">
        <v>287.3</v>
      </c>
      <c r="G27" s="542">
        <v>42.2</v>
      </c>
      <c r="H27" s="542">
        <v>221</v>
      </c>
      <c r="I27" s="542">
        <v>205.9</v>
      </c>
      <c r="J27" s="542">
        <f>400-35.8-21.9-26.9</f>
        <v>315.40000000000003</v>
      </c>
      <c r="K27" s="543">
        <v>548</v>
      </c>
      <c r="L27" s="543">
        <f>1818.2-344.3-221+56.4-400+35.8+21.9+26.9+247.7</f>
        <v>1241.6000000000001</v>
      </c>
      <c r="M27" s="544">
        <v>1268.8</v>
      </c>
      <c r="N27" s="456">
        <f t="shared" si="7"/>
        <v>2065.3000000000002</v>
      </c>
      <c r="O27" s="456">
        <f t="shared" si="7"/>
        <v>2064.9</v>
      </c>
    </row>
    <row r="28" spans="1:15" ht="48" customHeight="1" x14ac:dyDescent="0.2">
      <c r="A28" s="5" t="s">
        <v>12</v>
      </c>
      <c r="B28" s="32"/>
      <c r="C28" s="32"/>
      <c r="D28" s="100">
        <f t="shared" ref="D28:N28" si="8">SUM(D27+D26+D25+D24+D23+D22)</f>
        <v>3073.5</v>
      </c>
      <c r="E28" s="100">
        <f t="shared" si="8"/>
        <v>3073.5</v>
      </c>
      <c r="F28" s="100">
        <f t="shared" si="8"/>
        <v>335</v>
      </c>
      <c r="G28" s="100">
        <f t="shared" si="8"/>
        <v>74.900000000000006</v>
      </c>
      <c r="H28" s="100">
        <f t="shared" si="8"/>
        <v>465</v>
      </c>
      <c r="I28" s="100">
        <f t="shared" si="8"/>
        <v>464.90000000000003</v>
      </c>
      <c r="J28" s="100">
        <f t="shared" si="8"/>
        <v>420</v>
      </c>
      <c r="K28" s="100">
        <f t="shared" si="8"/>
        <v>648.99999999999989</v>
      </c>
      <c r="L28" s="100">
        <f t="shared" si="8"/>
        <v>1853.5000000000002</v>
      </c>
      <c r="M28" s="100">
        <f t="shared" si="8"/>
        <v>1600.7</v>
      </c>
      <c r="N28" s="100">
        <f t="shared" si="8"/>
        <v>3073.5</v>
      </c>
      <c r="O28" s="100">
        <f>SUM(O27+O26+O25+O24+O23+O22)</f>
        <v>2789.5</v>
      </c>
    </row>
    <row r="29" spans="1:15" ht="26.25" customHeight="1" thickBot="1" x14ac:dyDescent="0.25">
      <c r="A29" s="93"/>
      <c r="B29" s="20" t="s">
        <v>58</v>
      </c>
      <c r="C29" s="20"/>
      <c r="D29" s="101"/>
      <c r="E29" s="101"/>
      <c r="F29" s="101"/>
      <c r="G29" s="101"/>
      <c r="H29" s="101"/>
      <c r="I29" s="101"/>
      <c r="J29" s="101"/>
      <c r="K29" s="101"/>
      <c r="L29" s="102"/>
      <c r="M29" s="117"/>
      <c r="N29" s="49"/>
      <c r="O29" s="11"/>
    </row>
    <row r="30" spans="1:15" ht="30" customHeight="1" x14ac:dyDescent="0.2">
      <c r="A30" s="93"/>
      <c r="B30" s="20" t="s">
        <v>59</v>
      </c>
      <c r="C30" s="267"/>
      <c r="D30" s="100">
        <f t="shared" ref="D30:M30" si="9">SUM(D27+D26+D25+D24+D22)</f>
        <v>2773.5</v>
      </c>
      <c r="E30" s="100">
        <f t="shared" si="9"/>
        <v>2773.5</v>
      </c>
      <c r="F30" s="100">
        <f t="shared" si="9"/>
        <v>335</v>
      </c>
      <c r="G30" s="100">
        <f t="shared" si="9"/>
        <v>74.900000000000006</v>
      </c>
      <c r="H30" s="100">
        <f t="shared" si="9"/>
        <v>465</v>
      </c>
      <c r="I30" s="100">
        <f t="shared" si="9"/>
        <v>464.90000000000003</v>
      </c>
      <c r="J30" s="100">
        <f t="shared" si="9"/>
        <v>400</v>
      </c>
      <c r="K30" s="100">
        <f>SUM(K27+K26+K25+K24+K22+K23)</f>
        <v>648.99999999999989</v>
      </c>
      <c r="L30" s="100">
        <f>SUM(L27+L26+L25+L24+L22+L23)</f>
        <v>1853.5000000000002</v>
      </c>
      <c r="M30" s="100">
        <f t="shared" si="9"/>
        <v>1600.7</v>
      </c>
      <c r="N30" s="148">
        <f>SUM(F30+H30+J30+L30)</f>
        <v>3053.5</v>
      </c>
      <c r="O30" s="149">
        <f>SUM(G30+I30+K30+M30)</f>
        <v>2789.5</v>
      </c>
    </row>
    <row r="31" spans="1:15" ht="34.5" customHeight="1" thickBot="1" x14ac:dyDescent="0.25">
      <c r="A31" s="94"/>
      <c r="B31" s="78" t="s">
        <v>60</v>
      </c>
      <c r="C31" s="33"/>
      <c r="D31" s="103"/>
      <c r="E31" s="103"/>
      <c r="F31" s="103"/>
      <c r="G31" s="103"/>
      <c r="H31" s="103"/>
      <c r="I31" s="103"/>
      <c r="J31" s="103"/>
      <c r="K31" s="103"/>
      <c r="L31" s="104"/>
      <c r="M31" s="118"/>
      <c r="N31" s="49"/>
      <c r="O31" s="11"/>
    </row>
    <row r="32" spans="1:15" ht="48" customHeight="1" x14ac:dyDescent="0.2">
      <c r="A32" s="578" t="s">
        <v>17</v>
      </c>
      <c r="B32" s="497" t="s">
        <v>163</v>
      </c>
      <c r="C32" s="455"/>
      <c r="D32" s="495">
        <f>68413.7+57+204+719.3</f>
        <v>69394</v>
      </c>
      <c r="E32" s="495">
        <f t="shared" ref="E32:E41" si="10">F32+H32+J32+L32</f>
        <v>69394</v>
      </c>
      <c r="F32" s="495">
        <v>14189.5</v>
      </c>
      <c r="G32" s="495">
        <v>14189.5</v>
      </c>
      <c r="H32" s="495">
        <f>16946.7+201</f>
        <v>17147.7</v>
      </c>
      <c r="I32" s="495">
        <f>16946.7+201</f>
        <v>17147.7</v>
      </c>
      <c r="J32" s="495">
        <f>16700.7+757.1</f>
        <v>17457.8</v>
      </c>
      <c r="K32" s="496">
        <v>17457.8</v>
      </c>
      <c r="L32" s="496">
        <f>20576.8+57-201+204-757.1+719.3</f>
        <v>20599</v>
      </c>
      <c r="M32" s="495">
        <f>20599-225.5</f>
        <v>20373.5</v>
      </c>
      <c r="N32" s="456">
        <f t="shared" ref="N32:N41" si="11">SUM(F32+H32+J32+L32)</f>
        <v>69394</v>
      </c>
      <c r="O32" s="456">
        <f t="shared" ref="O32:O41" si="12">SUM(G32+I32+K32+M32)</f>
        <v>69168.5</v>
      </c>
    </row>
    <row r="33" spans="1:15" ht="39.75" customHeight="1" x14ac:dyDescent="0.2">
      <c r="A33" s="579"/>
      <c r="B33" s="497" t="s">
        <v>164</v>
      </c>
      <c r="C33" s="455"/>
      <c r="D33" s="495">
        <v>6500</v>
      </c>
      <c r="E33" s="495">
        <f t="shared" si="10"/>
        <v>6500</v>
      </c>
      <c r="F33" s="495">
        <v>1476.6</v>
      </c>
      <c r="G33" s="495">
        <v>1476.6</v>
      </c>
      <c r="H33" s="495">
        <v>1600.5</v>
      </c>
      <c r="I33" s="495">
        <v>1600.5</v>
      </c>
      <c r="J33" s="495">
        <v>1550.5</v>
      </c>
      <c r="K33" s="496">
        <v>1550.5</v>
      </c>
      <c r="L33" s="496">
        <v>1872.4</v>
      </c>
      <c r="M33" s="495">
        <v>1872.4</v>
      </c>
      <c r="N33" s="456">
        <f t="shared" si="11"/>
        <v>6500</v>
      </c>
      <c r="O33" s="456">
        <f t="shared" si="12"/>
        <v>6500</v>
      </c>
    </row>
    <row r="34" spans="1:15" ht="60.75" customHeight="1" x14ac:dyDescent="0.2">
      <c r="A34" s="579"/>
      <c r="B34" s="497" t="s">
        <v>165</v>
      </c>
      <c r="C34" s="299" t="s">
        <v>117</v>
      </c>
      <c r="D34" s="495">
        <v>946.2</v>
      </c>
      <c r="E34" s="495">
        <f t="shared" si="10"/>
        <v>946.2</v>
      </c>
      <c r="F34" s="495"/>
      <c r="G34" s="495"/>
      <c r="H34" s="495">
        <v>487.6</v>
      </c>
      <c r="I34" s="495">
        <v>487.6</v>
      </c>
      <c r="J34" s="495">
        <f>234.8+196</f>
        <v>430.8</v>
      </c>
      <c r="K34" s="496">
        <f>234.8+196</f>
        <v>430.8</v>
      </c>
      <c r="L34" s="496">
        <f>946.2-487.6-234.8-196</f>
        <v>27.800000000000011</v>
      </c>
      <c r="M34" s="495">
        <v>27.8</v>
      </c>
      <c r="N34" s="457">
        <f t="shared" si="11"/>
        <v>946.2</v>
      </c>
      <c r="O34" s="457">
        <f t="shared" si="12"/>
        <v>946.2</v>
      </c>
    </row>
    <row r="35" spans="1:15" ht="71.25" customHeight="1" x14ac:dyDescent="0.2">
      <c r="A35" s="579"/>
      <c r="B35" s="497" t="s">
        <v>166</v>
      </c>
      <c r="C35" s="299" t="s">
        <v>117</v>
      </c>
      <c r="D35" s="495">
        <v>2996.2</v>
      </c>
      <c r="E35" s="495">
        <f t="shared" si="10"/>
        <v>2996.2</v>
      </c>
      <c r="F35" s="495"/>
      <c r="G35" s="495"/>
      <c r="H35" s="495">
        <v>1543.9</v>
      </c>
      <c r="I35" s="495">
        <v>1543.9</v>
      </c>
      <c r="J35" s="495">
        <f>743.6+620</f>
        <v>1363.6</v>
      </c>
      <c r="K35" s="496">
        <f>743.6+620</f>
        <v>1363.6</v>
      </c>
      <c r="L35" s="496">
        <f>2996.2-1543.9-743.6-620</f>
        <v>88.699999999999704</v>
      </c>
      <c r="M35" s="495">
        <v>88.7</v>
      </c>
      <c r="N35" s="457">
        <f t="shared" si="11"/>
        <v>2996.2</v>
      </c>
      <c r="O35" s="457">
        <f t="shared" si="12"/>
        <v>2996.2</v>
      </c>
    </row>
    <row r="36" spans="1:15" s="443" customFormat="1" ht="165.75" customHeight="1" x14ac:dyDescent="0.2">
      <c r="A36" s="579"/>
      <c r="B36" s="498" t="s">
        <v>170</v>
      </c>
      <c r="C36" s="299" t="s">
        <v>117</v>
      </c>
      <c r="D36" s="495">
        <v>2854.7</v>
      </c>
      <c r="E36" s="495">
        <f t="shared" si="10"/>
        <v>2854.7</v>
      </c>
      <c r="F36" s="495"/>
      <c r="G36" s="495"/>
      <c r="H36" s="495"/>
      <c r="I36" s="495"/>
      <c r="J36" s="495"/>
      <c r="K36" s="496"/>
      <c r="L36" s="496">
        <v>2854.7</v>
      </c>
      <c r="M36" s="495">
        <v>2854.7</v>
      </c>
      <c r="N36" s="457">
        <f t="shared" si="11"/>
        <v>2854.7</v>
      </c>
      <c r="O36" s="457">
        <f t="shared" si="12"/>
        <v>2854.7</v>
      </c>
    </row>
    <row r="37" spans="1:15" s="443" customFormat="1" ht="56.25" customHeight="1" x14ac:dyDescent="0.2">
      <c r="A37" s="579"/>
      <c r="B37" s="498" t="s">
        <v>182</v>
      </c>
      <c r="C37" s="299"/>
      <c r="D37" s="495">
        <v>11743.4</v>
      </c>
      <c r="E37" s="495">
        <f t="shared" si="10"/>
        <v>11743.4</v>
      </c>
      <c r="F37" s="495"/>
      <c r="G37" s="495"/>
      <c r="H37" s="495"/>
      <c r="I37" s="495"/>
      <c r="J37" s="495"/>
      <c r="K37" s="496"/>
      <c r="L37" s="496">
        <v>11743.4</v>
      </c>
      <c r="M37" s="495">
        <v>11743.4</v>
      </c>
      <c r="N37" s="457">
        <f t="shared" si="11"/>
        <v>11743.4</v>
      </c>
      <c r="O37" s="457">
        <f t="shared" si="12"/>
        <v>11743.4</v>
      </c>
    </row>
    <row r="38" spans="1:15" ht="34.5" customHeight="1" x14ac:dyDescent="0.2">
      <c r="A38" s="579"/>
      <c r="B38" s="497" t="s">
        <v>167</v>
      </c>
      <c r="C38" s="455"/>
      <c r="D38" s="495">
        <v>19894.2</v>
      </c>
      <c r="E38" s="495">
        <f t="shared" si="10"/>
        <v>19894.2</v>
      </c>
      <c r="F38" s="495">
        <v>4243.3999999999996</v>
      </c>
      <c r="G38" s="495">
        <v>3480.7</v>
      </c>
      <c r="H38" s="495">
        <v>4739.8</v>
      </c>
      <c r="I38" s="495">
        <v>4998.8</v>
      </c>
      <c r="J38" s="495">
        <f>5000.2-150</f>
        <v>4850.2</v>
      </c>
      <c r="K38" s="496">
        <v>4804.2</v>
      </c>
      <c r="L38" s="496">
        <f>6209-260.4+53.4+150-91.2</f>
        <v>6060.8</v>
      </c>
      <c r="M38" s="495">
        <f>6570.1-300</f>
        <v>6270.1</v>
      </c>
      <c r="N38" s="457">
        <f t="shared" si="11"/>
        <v>19894.2</v>
      </c>
      <c r="O38" s="457">
        <f t="shared" si="12"/>
        <v>19553.800000000003</v>
      </c>
    </row>
    <row r="39" spans="1:15" ht="27" customHeight="1" x14ac:dyDescent="0.2">
      <c r="A39" s="579"/>
      <c r="B39" s="499" t="s">
        <v>116</v>
      </c>
      <c r="C39" s="458"/>
      <c r="D39" s="495">
        <f>D40+D41</f>
        <v>12215.2</v>
      </c>
      <c r="E39" s="495">
        <f t="shared" si="10"/>
        <v>12215.199999999999</v>
      </c>
      <c r="F39" s="495">
        <f t="shared" ref="F39:M39" si="13">F40+F41</f>
        <v>2877.7</v>
      </c>
      <c r="G39" s="495">
        <f t="shared" si="13"/>
        <v>2634.2</v>
      </c>
      <c r="H39" s="495">
        <f t="shared" si="13"/>
        <v>2908.7</v>
      </c>
      <c r="I39" s="495">
        <f t="shared" si="13"/>
        <v>3040.3999999999996</v>
      </c>
      <c r="J39" s="495">
        <f t="shared" si="13"/>
        <v>3232.2</v>
      </c>
      <c r="K39" s="495">
        <f t="shared" si="13"/>
        <v>2606.6999999999998</v>
      </c>
      <c r="L39" s="495">
        <f t="shared" si="13"/>
        <v>3196.6</v>
      </c>
      <c r="M39" s="495">
        <f t="shared" si="13"/>
        <v>3781.6000000000004</v>
      </c>
      <c r="N39" s="457">
        <f t="shared" si="11"/>
        <v>12215.199999999999</v>
      </c>
      <c r="O39" s="457">
        <f t="shared" si="12"/>
        <v>12062.9</v>
      </c>
    </row>
    <row r="40" spans="1:15" ht="27" customHeight="1" x14ac:dyDescent="0.2">
      <c r="A40" s="579"/>
      <c r="B40" s="497" t="s">
        <v>168</v>
      </c>
      <c r="C40" s="458"/>
      <c r="D40" s="495">
        <f>4485.1+15</f>
        <v>4500.1000000000004</v>
      </c>
      <c r="E40" s="495">
        <f t="shared" si="10"/>
        <v>4500.1000000000004</v>
      </c>
      <c r="F40" s="495">
        <v>948.9</v>
      </c>
      <c r="G40" s="495">
        <v>782.5</v>
      </c>
      <c r="H40" s="495">
        <v>1098.7</v>
      </c>
      <c r="I40" s="495">
        <v>1131.5999999999999</v>
      </c>
      <c r="J40" s="495">
        <f>1117.9+70</f>
        <v>1187.9000000000001</v>
      </c>
      <c r="K40" s="496">
        <v>1052.5999999999999</v>
      </c>
      <c r="L40" s="496">
        <f>1319.6-70+15</f>
        <v>1264.5999999999999</v>
      </c>
      <c r="M40" s="495">
        <v>1472.3</v>
      </c>
      <c r="N40" s="457">
        <f t="shared" si="11"/>
        <v>4500.1000000000004</v>
      </c>
      <c r="O40" s="457">
        <f t="shared" si="12"/>
        <v>4439</v>
      </c>
    </row>
    <row r="41" spans="1:15" ht="36" customHeight="1" thickBot="1" x14ac:dyDescent="0.25">
      <c r="A41" s="579"/>
      <c r="B41" s="497" t="s">
        <v>169</v>
      </c>
      <c r="C41" s="455"/>
      <c r="D41" s="495">
        <v>7715.1</v>
      </c>
      <c r="E41" s="495">
        <f t="shared" si="10"/>
        <v>7715.1</v>
      </c>
      <c r="F41" s="495">
        <f>1848.8+80</f>
        <v>1928.8</v>
      </c>
      <c r="G41" s="495">
        <v>1851.7</v>
      </c>
      <c r="H41" s="495">
        <f>1890-80</f>
        <v>1810</v>
      </c>
      <c r="I41" s="495">
        <v>1908.8</v>
      </c>
      <c r="J41" s="495">
        <f>2034.3+10</f>
        <v>2044.3</v>
      </c>
      <c r="K41" s="496">
        <v>1554.1</v>
      </c>
      <c r="L41" s="496">
        <f>1942-10</f>
        <v>1932</v>
      </c>
      <c r="M41" s="495">
        <v>2309.3000000000002</v>
      </c>
      <c r="N41" s="457">
        <f t="shared" si="11"/>
        <v>7715.1</v>
      </c>
      <c r="O41" s="457">
        <f t="shared" si="12"/>
        <v>7623.9000000000005</v>
      </c>
    </row>
    <row r="42" spans="1:15" ht="45" customHeight="1" x14ac:dyDescent="0.2">
      <c r="A42" s="4" t="s">
        <v>12</v>
      </c>
      <c r="B42" s="97" t="s">
        <v>70</v>
      </c>
      <c r="C42" s="97"/>
      <c r="D42" s="98">
        <f t="shared" ref="D42:O42" si="14">D32+D33+D34+D38+D39+D35+D36+D37</f>
        <v>126543.89999999998</v>
      </c>
      <c r="E42" s="98">
        <f t="shared" si="14"/>
        <v>126543.89999999998</v>
      </c>
      <c r="F42" s="98">
        <f t="shared" si="14"/>
        <v>22787.200000000001</v>
      </c>
      <c r="G42" s="98">
        <f t="shared" si="14"/>
        <v>21781</v>
      </c>
      <c r="H42" s="98">
        <f t="shared" si="14"/>
        <v>28428.2</v>
      </c>
      <c r="I42" s="98">
        <f t="shared" si="14"/>
        <v>28818.9</v>
      </c>
      <c r="J42" s="98">
        <f t="shared" si="14"/>
        <v>28885.1</v>
      </c>
      <c r="K42" s="98">
        <f t="shared" si="14"/>
        <v>28213.599999999999</v>
      </c>
      <c r="L42" s="98">
        <f t="shared" si="14"/>
        <v>46443.4</v>
      </c>
      <c r="M42" s="98">
        <f t="shared" si="14"/>
        <v>47012.200000000004</v>
      </c>
      <c r="N42" s="98">
        <f t="shared" si="14"/>
        <v>126543.89999999998</v>
      </c>
      <c r="O42" s="98">
        <f t="shared" si="14"/>
        <v>125825.69999999998</v>
      </c>
    </row>
    <row r="43" spans="1:15" ht="22.5" customHeight="1" x14ac:dyDescent="0.2">
      <c r="A43" s="35"/>
      <c r="B43" s="97" t="s">
        <v>71</v>
      </c>
      <c r="C43" s="97"/>
      <c r="D43" s="98">
        <f t="shared" ref="D43:O43" si="15">SUM(D32+D33+D38+D39)</f>
        <v>108003.4</v>
      </c>
      <c r="E43" s="98">
        <f t="shared" si="15"/>
        <v>108003.4</v>
      </c>
      <c r="F43" s="98">
        <f t="shared" si="15"/>
        <v>22787.200000000001</v>
      </c>
      <c r="G43" s="98">
        <f t="shared" si="15"/>
        <v>21781</v>
      </c>
      <c r="H43" s="98">
        <f t="shared" si="15"/>
        <v>26396.7</v>
      </c>
      <c r="I43" s="98">
        <f t="shared" si="15"/>
        <v>26787.4</v>
      </c>
      <c r="J43" s="98">
        <f t="shared" si="15"/>
        <v>27090.7</v>
      </c>
      <c r="K43" s="98">
        <f t="shared" si="15"/>
        <v>26419.200000000001</v>
      </c>
      <c r="L43" s="98">
        <f t="shared" si="15"/>
        <v>31728.799999999999</v>
      </c>
      <c r="M43" s="98">
        <f t="shared" si="15"/>
        <v>32297.599999999999</v>
      </c>
      <c r="N43" s="98">
        <f t="shared" si="15"/>
        <v>108003.4</v>
      </c>
      <c r="O43" s="98">
        <f t="shared" si="15"/>
        <v>107285.2</v>
      </c>
    </row>
    <row r="44" spans="1:15" ht="45.75" customHeight="1" x14ac:dyDescent="0.2">
      <c r="A44" s="35"/>
      <c r="B44" s="78" t="s">
        <v>60</v>
      </c>
      <c r="C44" s="78"/>
      <c r="D44" s="98">
        <f>SUM(D34+D35+D36+D37)</f>
        <v>18540.5</v>
      </c>
      <c r="E44" s="98">
        <f t="shared" ref="E44:M44" si="16">SUM(E34+E35+E36+E37)</f>
        <v>18540.5</v>
      </c>
      <c r="F44" s="98">
        <f t="shared" si="16"/>
        <v>0</v>
      </c>
      <c r="G44" s="98">
        <f t="shared" si="16"/>
        <v>0</v>
      </c>
      <c r="H44" s="98">
        <f t="shared" si="16"/>
        <v>2031.5</v>
      </c>
      <c r="I44" s="98">
        <f t="shared" si="16"/>
        <v>2031.5</v>
      </c>
      <c r="J44" s="98">
        <f t="shared" si="16"/>
        <v>1794.3999999999999</v>
      </c>
      <c r="K44" s="98">
        <f t="shared" si="16"/>
        <v>1794.3999999999999</v>
      </c>
      <c r="L44" s="98">
        <f t="shared" si="16"/>
        <v>14714.599999999999</v>
      </c>
      <c r="M44" s="98">
        <f t="shared" si="16"/>
        <v>14714.599999999999</v>
      </c>
      <c r="N44" s="98">
        <f>SUM(N34+N35+N36+N37)</f>
        <v>18540.5</v>
      </c>
      <c r="O44" s="98">
        <f>SUM(O34+O35+O36+O37)</f>
        <v>18540.5</v>
      </c>
    </row>
    <row r="45" spans="1:15" s="1" customFormat="1" ht="72.75" customHeight="1" x14ac:dyDescent="0.2">
      <c r="A45" s="318" t="s">
        <v>43</v>
      </c>
      <c r="B45" s="160"/>
      <c r="C45" s="160"/>
      <c r="D45" s="459">
        <v>1463.1</v>
      </c>
      <c r="E45" s="459">
        <v>1463.1</v>
      </c>
      <c r="F45" s="459">
        <v>349.6</v>
      </c>
      <c r="G45" s="459">
        <v>349.6</v>
      </c>
      <c r="H45" s="459">
        <v>371.2</v>
      </c>
      <c r="I45" s="459">
        <v>350.5</v>
      </c>
      <c r="J45" s="459">
        <v>371.2</v>
      </c>
      <c r="K45" s="460">
        <v>415.2</v>
      </c>
      <c r="L45" s="459">
        <v>371.1</v>
      </c>
      <c r="M45" s="531">
        <v>335.8</v>
      </c>
      <c r="N45" s="456">
        <f>SUM(F45+H45+J45+L45)</f>
        <v>1463.1</v>
      </c>
      <c r="O45" s="532">
        <f>SUM(G45+I45+K45+M45)</f>
        <v>1451.1</v>
      </c>
    </row>
    <row r="46" spans="1:15" s="1" customFormat="1" ht="32.25" customHeight="1" x14ac:dyDescent="0.2">
      <c r="A46" s="23" t="s">
        <v>12</v>
      </c>
      <c r="B46" s="34"/>
      <c r="C46" s="34"/>
      <c r="D46" s="533">
        <f t="shared" ref="D46:M46" si="17">SUM(D45)</f>
        <v>1463.1</v>
      </c>
      <c r="E46" s="533">
        <f t="shared" si="17"/>
        <v>1463.1</v>
      </c>
      <c r="F46" s="533">
        <f t="shared" si="17"/>
        <v>349.6</v>
      </c>
      <c r="G46" s="533">
        <f t="shared" si="17"/>
        <v>349.6</v>
      </c>
      <c r="H46" s="533">
        <f t="shared" si="17"/>
        <v>371.2</v>
      </c>
      <c r="I46" s="533">
        <v>350.5</v>
      </c>
      <c r="J46" s="533">
        <f t="shared" si="17"/>
        <v>371.2</v>
      </c>
      <c r="K46" s="533">
        <f t="shared" si="17"/>
        <v>415.2</v>
      </c>
      <c r="L46" s="533">
        <f t="shared" si="17"/>
        <v>371.1</v>
      </c>
      <c r="M46" s="534">
        <f t="shared" si="17"/>
        <v>335.8</v>
      </c>
      <c r="N46" s="533">
        <f>SUM(N45)</f>
        <v>1463.1</v>
      </c>
      <c r="O46" s="533">
        <f>SUM(G46+I46+K46+M46)</f>
        <v>1451.1</v>
      </c>
    </row>
    <row r="47" spans="1:15" s="1" customFormat="1" ht="24.75" customHeight="1" x14ac:dyDescent="0.2">
      <c r="A47" s="99"/>
      <c r="B47" s="20" t="s">
        <v>58</v>
      </c>
      <c r="C47" s="78"/>
      <c r="D47" s="533"/>
      <c r="E47" s="533"/>
      <c r="F47" s="533"/>
      <c r="G47" s="533"/>
      <c r="H47" s="533"/>
      <c r="I47" s="533"/>
      <c r="J47" s="533"/>
      <c r="K47" s="534"/>
      <c r="L47" s="534"/>
      <c r="M47" s="534"/>
      <c r="N47" s="535"/>
      <c r="O47" s="536"/>
    </row>
    <row r="48" spans="1:15" s="1" customFormat="1" ht="27.75" customHeight="1" x14ac:dyDescent="0.2">
      <c r="A48" s="99"/>
      <c r="B48" s="20" t="s">
        <v>59</v>
      </c>
      <c r="C48" s="78"/>
      <c r="D48" s="533">
        <f t="shared" ref="D48:M48" si="18">SUM(D46)</f>
        <v>1463.1</v>
      </c>
      <c r="E48" s="533">
        <f t="shared" si="18"/>
        <v>1463.1</v>
      </c>
      <c r="F48" s="533">
        <f t="shared" si="18"/>
        <v>349.6</v>
      </c>
      <c r="G48" s="533">
        <f t="shared" si="18"/>
        <v>349.6</v>
      </c>
      <c r="H48" s="533">
        <f t="shared" si="18"/>
        <v>371.2</v>
      </c>
      <c r="I48" s="533">
        <f t="shared" si="18"/>
        <v>350.5</v>
      </c>
      <c r="J48" s="533">
        <f t="shared" si="18"/>
        <v>371.2</v>
      </c>
      <c r="K48" s="533">
        <f t="shared" si="18"/>
        <v>415.2</v>
      </c>
      <c r="L48" s="533">
        <f t="shared" si="18"/>
        <v>371.1</v>
      </c>
      <c r="M48" s="534">
        <f t="shared" si="18"/>
        <v>335.8</v>
      </c>
      <c r="N48" s="535">
        <f>SUM(F48+H48+J48+L48)</f>
        <v>1463.1</v>
      </c>
      <c r="O48" s="537">
        <f>SUM(G48+I48+K48+M48)</f>
        <v>1451.1</v>
      </c>
    </row>
    <row r="49" spans="1:15" s="1" customFormat="1" ht="39" customHeight="1" thickBot="1" x14ac:dyDescent="0.25">
      <c r="A49" s="99"/>
      <c r="B49" s="33" t="s">
        <v>60</v>
      </c>
      <c r="C49" s="33"/>
      <c r="D49" s="538">
        <v>0</v>
      </c>
      <c r="E49" s="538">
        <v>0</v>
      </c>
      <c r="F49" s="538">
        <v>0</v>
      </c>
      <c r="G49" s="538">
        <v>0</v>
      </c>
      <c r="H49" s="538">
        <v>0</v>
      </c>
      <c r="I49" s="538"/>
      <c r="J49" s="538">
        <v>0</v>
      </c>
      <c r="K49" s="538">
        <v>0</v>
      </c>
      <c r="L49" s="538">
        <v>0</v>
      </c>
      <c r="M49" s="539">
        <v>0</v>
      </c>
      <c r="N49" s="539">
        <v>0</v>
      </c>
      <c r="O49" s="539">
        <v>0</v>
      </c>
    </row>
    <row r="50" spans="1:15" s="1" customFormat="1" ht="29.25" customHeight="1" thickBot="1" x14ac:dyDescent="0.25">
      <c r="A50" s="26" t="s">
        <v>2</v>
      </c>
      <c r="B50" s="37"/>
      <c r="C50" s="268"/>
      <c r="D50" s="38">
        <f t="shared" ref="D50:N50" si="19">SUM(D46+D42+D28)</f>
        <v>131080.5</v>
      </c>
      <c r="E50" s="38">
        <f t="shared" si="19"/>
        <v>131080.5</v>
      </c>
      <c r="F50" s="38">
        <f t="shared" si="19"/>
        <v>23471.8</v>
      </c>
      <c r="G50" s="38">
        <f t="shared" si="19"/>
        <v>22205.5</v>
      </c>
      <c r="H50" s="38">
        <f t="shared" si="19"/>
        <v>29264.400000000001</v>
      </c>
      <c r="I50" s="38">
        <f t="shared" si="19"/>
        <v>29634.300000000003</v>
      </c>
      <c r="J50" s="38">
        <f t="shared" si="19"/>
        <v>29676.3</v>
      </c>
      <c r="K50" s="38">
        <f t="shared" si="19"/>
        <v>29277.8</v>
      </c>
      <c r="L50" s="38">
        <f t="shared" si="19"/>
        <v>48668</v>
      </c>
      <c r="M50" s="38">
        <f t="shared" si="19"/>
        <v>48948.700000000004</v>
      </c>
      <c r="N50" s="38">
        <f t="shared" si="19"/>
        <v>131080.5</v>
      </c>
      <c r="O50" s="38">
        <f>SUM(O46+O42+O28)</f>
        <v>130066.29999999999</v>
      </c>
    </row>
    <row r="51" spans="1:15" s="1" customFormat="1" ht="29.25" customHeight="1" thickBot="1" x14ac:dyDescent="0.25">
      <c r="A51" s="36"/>
      <c r="B51" s="39" t="s">
        <v>58</v>
      </c>
      <c r="C51" s="264"/>
      <c r="D51" s="38"/>
      <c r="E51" s="38"/>
      <c r="F51" s="38"/>
      <c r="G51" s="38"/>
      <c r="H51" s="38"/>
      <c r="I51" s="38"/>
      <c r="J51" s="38"/>
      <c r="K51" s="38"/>
      <c r="L51" s="38"/>
      <c r="M51" s="119"/>
      <c r="N51" s="31"/>
      <c r="O51" s="63"/>
    </row>
    <row r="52" spans="1:15" s="1" customFormat="1" ht="29.25" customHeight="1" thickBot="1" x14ac:dyDescent="0.25">
      <c r="A52" s="36"/>
      <c r="B52" s="39" t="s">
        <v>59</v>
      </c>
      <c r="C52" s="264"/>
      <c r="D52" s="38">
        <f t="shared" ref="D52:O52" si="20">SUM(D48+D43+D30)</f>
        <v>112240</v>
      </c>
      <c r="E52" s="38">
        <f t="shared" si="20"/>
        <v>112240</v>
      </c>
      <c r="F52" s="38">
        <f t="shared" si="20"/>
        <v>23471.8</v>
      </c>
      <c r="G52" s="38">
        <f t="shared" si="20"/>
        <v>22205.5</v>
      </c>
      <c r="H52" s="38">
        <f t="shared" si="20"/>
        <v>27232.9</v>
      </c>
      <c r="I52" s="38">
        <f t="shared" si="20"/>
        <v>27602.800000000003</v>
      </c>
      <c r="J52" s="38">
        <f t="shared" si="20"/>
        <v>27861.9</v>
      </c>
      <c r="K52" s="38">
        <f t="shared" si="20"/>
        <v>27483.4</v>
      </c>
      <c r="L52" s="38">
        <f t="shared" si="20"/>
        <v>33953.4</v>
      </c>
      <c r="M52" s="38">
        <f t="shared" si="20"/>
        <v>34234.1</v>
      </c>
      <c r="N52" s="38">
        <f t="shared" si="20"/>
        <v>112520</v>
      </c>
      <c r="O52" s="38">
        <f t="shared" si="20"/>
        <v>111525.8</v>
      </c>
    </row>
    <row r="53" spans="1:15" s="1" customFormat="1" ht="37.5" customHeight="1" thickBot="1" x14ac:dyDescent="0.25">
      <c r="A53" s="36"/>
      <c r="B53" s="40" t="s">
        <v>60</v>
      </c>
      <c r="C53" s="265"/>
      <c r="D53" s="38">
        <f t="shared" ref="D53:O53" si="21">SUM(D44)</f>
        <v>18540.5</v>
      </c>
      <c r="E53" s="38">
        <f t="shared" si="21"/>
        <v>18540.5</v>
      </c>
      <c r="F53" s="38">
        <f t="shared" si="21"/>
        <v>0</v>
      </c>
      <c r="G53" s="38">
        <f t="shared" si="21"/>
        <v>0</v>
      </c>
      <c r="H53" s="38">
        <f t="shared" si="21"/>
        <v>2031.5</v>
      </c>
      <c r="I53" s="38">
        <f t="shared" si="21"/>
        <v>2031.5</v>
      </c>
      <c r="J53" s="38">
        <f t="shared" si="21"/>
        <v>1794.3999999999999</v>
      </c>
      <c r="K53" s="38">
        <f t="shared" si="21"/>
        <v>1794.3999999999999</v>
      </c>
      <c r="L53" s="38">
        <f t="shared" si="21"/>
        <v>14714.599999999999</v>
      </c>
      <c r="M53" s="38">
        <f t="shared" si="21"/>
        <v>14714.599999999999</v>
      </c>
      <c r="N53" s="38">
        <f t="shared" si="21"/>
        <v>18540.5</v>
      </c>
      <c r="O53" s="38">
        <f t="shared" si="21"/>
        <v>18540.5</v>
      </c>
    </row>
    <row r="54" spans="1:15" ht="28.5" customHeight="1" x14ac:dyDescent="0.25">
      <c r="A54" s="603" t="s">
        <v>18</v>
      </c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5"/>
      <c r="O54" s="606"/>
    </row>
    <row r="55" spans="1:15" ht="53.25" customHeight="1" x14ac:dyDescent="0.2">
      <c r="A55" s="634" t="s">
        <v>19</v>
      </c>
      <c r="B55" s="185" t="s">
        <v>75</v>
      </c>
      <c r="C55" s="185"/>
      <c r="D55" s="203">
        <v>3362.2</v>
      </c>
      <c r="E55" s="203">
        <v>3362.2</v>
      </c>
      <c r="F55" s="171">
        <v>732.3</v>
      </c>
      <c r="G55" s="171">
        <v>732.3</v>
      </c>
      <c r="H55" s="171">
        <v>777.9</v>
      </c>
      <c r="I55" s="225">
        <v>1220.0999999999999</v>
      </c>
      <c r="J55" s="171">
        <v>777.9</v>
      </c>
      <c r="K55" s="172">
        <v>648.70000000000005</v>
      </c>
      <c r="L55" s="171">
        <v>1074.0999999999999</v>
      </c>
      <c r="M55" s="192">
        <v>726</v>
      </c>
      <c r="N55" s="172">
        <f t="shared" ref="N55:N57" si="22">SUM(F55+H55+J55+L55)</f>
        <v>3362.2</v>
      </c>
      <c r="O55" s="172">
        <f t="shared" ref="O55:O57" si="23">SUM(G55+I55+K55+M55)</f>
        <v>3327.1</v>
      </c>
    </row>
    <row r="56" spans="1:15" ht="69.75" customHeight="1" x14ac:dyDescent="0.2">
      <c r="A56" s="635"/>
      <c r="B56" s="185" t="s">
        <v>20</v>
      </c>
      <c r="C56" s="185"/>
      <c r="D56" s="203">
        <v>230</v>
      </c>
      <c r="E56" s="203">
        <v>230</v>
      </c>
      <c r="F56" s="171"/>
      <c r="G56" s="171"/>
      <c r="H56" s="172"/>
      <c r="I56" s="225"/>
      <c r="J56" s="172">
        <v>230</v>
      </c>
      <c r="K56" s="172">
        <v>230</v>
      </c>
      <c r="L56" s="172"/>
      <c r="M56" s="192"/>
      <c r="N56" s="172">
        <f t="shared" ref="N56" si="24">SUM(F56+H56+J56+L56)</f>
        <v>230</v>
      </c>
      <c r="O56" s="172">
        <f t="shared" ref="O56" si="25">SUM(G56+I56+K56+M56)</f>
        <v>230</v>
      </c>
    </row>
    <row r="57" spans="1:15" ht="84" customHeight="1" x14ac:dyDescent="0.2">
      <c r="A57" s="636"/>
      <c r="B57" s="185" t="s">
        <v>76</v>
      </c>
      <c r="C57" s="185"/>
      <c r="D57" s="203">
        <v>3119.4</v>
      </c>
      <c r="E57" s="203">
        <v>3119.4</v>
      </c>
      <c r="F57" s="172">
        <v>796.4</v>
      </c>
      <c r="G57" s="172">
        <v>796.4</v>
      </c>
      <c r="H57" s="172">
        <v>873.1</v>
      </c>
      <c r="I57" s="225">
        <v>774.3</v>
      </c>
      <c r="J57" s="172">
        <v>873.1</v>
      </c>
      <c r="K57" s="172">
        <v>774.4</v>
      </c>
      <c r="L57" s="172">
        <v>576.79999999999995</v>
      </c>
      <c r="M57" s="192">
        <v>774.3</v>
      </c>
      <c r="N57" s="172">
        <f t="shared" si="22"/>
        <v>3119.3999999999996</v>
      </c>
      <c r="O57" s="172">
        <f t="shared" si="23"/>
        <v>3119.3999999999996</v>
      </c>
    </row>
    <row r="58" spans="1:15" ht="37.5" x14ac:dyDescent="0.2">
      <c r="A58" s="26" t="s">
        <v>12</v>
      </c>
      <c r="B58" s="540"/>
      <c r="C58" s="540"/>
      <c r="D58" s="252">
        <f>SUM(D55+D57+D56)</f>
        <v>6711.6</v>
      </c>
      <c r="E58" s="252">
        <f>SUM(E55+E57+E56)</f>
        <v>6711.6</v>
      </c>
      <c r="F58" s="252">
        <f t="shared" ref="F58:K58" si="26">SUM(F55+F57)</f>
        <v>1528.6999999999998</v>
      </c>
      <c r="G58" s="252">
        <f t="shared" si="26"/>
        <v>1528.6999999999998</v>
      </c>
      <c r="H58" s="252">
        <f t="shared" si="26"/>
        <v>1651</v>
      </c>
      <c r="I58" s="252">
        <f t="shared" si="26"/>
        <v>1994.3999999999999</v>
      </c>
      <c r="J58" s="252">
        <f t="shared" si="26"/>
        <v>1651</v>
      </c>
      <c r="K58" s="252">
        <f t="shared" si="26"/>
        <v>1423.1</v>
      </c>
      <c r="L58" s="252">
        <f>SUM(L55+L57+L56)</f>
        <v>1650.8999999999999</v>
      </c>
      <c r="M58" s="252">
        <f>SUM(M55+M57+M56)</f>
        <v>1500.3</v>
      </c>
      <c r="N58" s="252">
        <f>SUM(N55+N57+N56)</f>
        <v>6711.5999999999995</v>
      </c>
      <c r="O58" s="252">
        <f>SUM(O55+O57+O56)</f>
        <v>6676.5</v>
      </c>
    </row>
    <row r="59" spans="1:15" ht="15.75" x14ac:dyDescent="0.2">
      <c r="A59" s="541"/>
      <c r="B59" s="441" t="s">
        <v>58</v>
      </c>
      <c r="C59" s="441"/>
      <c r="D59" s="252"/>
      <c r="E59" s="252"/>
      <c r="F59" s="253"/>
      <c r="G59" s="254"/>
      <c r="H59" s="252"/>
      <c r="I59" s="252"/>
      <c r="J59" s="253"/>
      <c r="K59" s="66"/>
      <c r="L59" s="254"/>
      <c r="M59" s="255"/>
      <c r="N59" s="66"/>
      <c r="O59" s="66"/>
    </row>
    <row r="60" spans="1:15" ht="15.75" x14ac:dyDescent="0.2">
      <c r="A60" s="541"/>
      <c r="B60" s="441" t="s">
        <v>59</v>
      </c>
      <c r="C60" s="441"/>
      <c r="D60" s="252">
        <f>SUM(D55+D57+D56)</f>
        <v>6711.6</v>
      </c>
      <c r="E60" s="252">
        <f>SUM(E55+E57+E56)</f>
        <v>6711.6</v>
      </c>
      <c r="F60" s="252">
        <f t="shared" ref="F60:K60" si="27">SUM(F55+F57)</f>
        <v>1528.6999999999998</v>
      </c>
      <c r="G60" s="252">
        <f t="shared" si="27"/>
        <v>1528.6999999999998</v>
      </c>
      <c r="H60" s="252">
        <f t="shared" si="27"/>
        <v>1651</v>
      </c>
      <c r="I60" s="252">
        <f t="shared" si="27"/>
        <v>1994.3999999999999</v>
      </c>
      <c r="J60" s="252">
        <f t="shared" si="27"/>
        <v>1651</v>
      </c>
      <c r="K60" s="252">
        <f t="shared" si="27"/>
        <v>1423.1</v>
      </c>
      <c r="L60" s="252">
        <f>SUM(L55+L57+L56)</f>
        <v>1650.8999999999999</v>
      </c>
      <c r="M60" s="252">
        <f>SUM(M55+M57+M56)</f>
        <v>1500.3</v>
      </c>
      <c r="N60" s="256">
        <f>SUM(F60+H60+J60+L60)</f>
        <v>6481.5999999999995</v>
      </c>
      <c r="O60" s="252">
        <f>SUM(O57+O56+O55)</f>
        <v>6676.5</v>
      </c>
    </row>
    <row r="61" spans="1:15" s="1" customFormat="1" ht="32.25" customHeight="1" thickBot="1" x14ac:dyDescent="0.25">
      <c r="A61" s="26"/>
      <c r="B61" s="40" t="s">
        <v>60</v>
      </c>
      <c r="C61" s="84"/>
      <c r="D61" s="257"/>
      <c r="E61" s="257"/>
      <c r="F61" s="257"/>
      <c r="G61" s="257"/>
      <c r="H61" s="257"/>
      <c r="I61" s="257"/>
      <c r="J61" s="257"/>
      <c r="K61" s="257"/>
      <c r="L61" s="257"/>
      <c r="M61" s="258"/>
      <c r="N61" s="31"/>
      <c r="O61" s="63"/>
    </row>
    <row r="62" spans="1:15" ht="28.5" customHeight="1" x14ac:dyDescent="0.25">
      <c r="A62" s="603" t="s">
        <v>22</v>
      </c>
      <c r="B62" s="604"/>
      <c r="C62" s="604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5"/>
      <c r="O62" s="606"/>
    </row>
    <row r="63" spans="1:15" ht="165" customHeight="1" x14ac:dyDescent="0.2">
      <c r="A63" s="579" t="s">
        <v>91</v>
      </c>
      <c r="B63" s="286" t="s">
        <v>90</v>
      </c>
      <c r="C63" s="620" t="s">
        <v>121</v>
      </c>
      <c r="D63" s="370">
        <v>3834</v>
      </c>
      <c r="E63" s="370">
        <v>3834</v>
      </c>
      <c r="F63" s="370">
        <v>3834</v>
      </c>
      <c r="G63" s="283">
        <v>3833.8</v>
      </c>
      <c r="H63" s="283">
        <v>0</v>
      </c>
      <c r="I63" s="283">
        <v>0</v>
      </c>
      <c r="J63" s="283">
        <v>0</v>
      </c>
      <c r="K63" s="287">
        <v>0</v>
      </c>
      <c r="L63" s="287">
        <v>0</v>
      </c>
      <c r="M63" s="288">
        <v>0</v>
      </c>
      <c r="N63" s="371">
        <f t="shared" ref="N63:O66" si="28">SUM(F63+H63+J63+L63)</f>
        <v>3834</v>
      </c>
      <c r="O63" s="290">
        <f t="shared" si="28"/>
        <v>3833.8</v>
      </c>
    </row>
    <row r="64" spans="1:15" ht="24" customHeight="1" x14ac:dyDescent="0.2">
      <c r="A64" s="579"/>
      <c r="B64" s="282" t="s">
        <v>58</v>
      </c>
      <c r="C64" s="574"/>
      <c r="D64" s="283"/>
      <c r="E64" s="283"/>
      <c r="F64" s="283"/>
      <c r="G64" s="283"/>
      <c r="H64" s="283"/>
      <c r="I64" s="283"/>
      <c r="J64" s="283"/>
      <c r="K64" s="287"/>
      <c r="L64" s="287"/>
      <c r="M64" s="288"/>
      <c r="N64" s="193"/>
      <c r="O64" s="202"/>
    </row>
    <row r="65" spans="1:15" ht="24.75" customHeight="1" x14ac:dyDescent="0.2">
      <c r="A65" s="579"/>
      <c r="B65" s="282" t="s">
        <v>59</v>
      </c>
      <c r="C65" s="574"/>
      <c r="D65" s="283">
        <v>1840.3</v>
      </c>
      <c r="E65" s="283">
        <v>1840.3</v>
      </c>
      <c r="F65" s="283">
        <v>1840.3</v>
      </c>
      <c r="G65" s="283">
        <v>1840.2</v>
      </c>
      <c r="H65" s="283">
        <v>0</v>
      </c>
      <c r="I65" s="283">
        <v>0</v>
      </c>
      <c r="J65" s="283">
        <v>0</v>
      </c>
      <c r="K65" s="287">
        <v>0</v>
      </c>
      <c r="L65" s="287">
        <v>0</v>
      </c>
      <c r="M65" s="288">
        <v>0</v>
      </c>
      <c r="N65" s="289">
        <f t="shared" si="28"/>
        <v>1840.3</v>
      </c>
      <c r="O65" s="290">
        <f t="shared" si="28"/>
        <v>1840.2</v>
      </c>
    </row>
    <row r="66" spans="1:15" ht="32.25" customHeight="1" x14ac:dyDescent="0.2">
      <c r="A66" s="579"/>
      <c r="B66" s="281" t="s">
        <v>60</v>
      </c>
      <c r="C66" s="575"/>
      <c r="D66" s="283">
        <v>1993.7</v>
      </c>
      <c r="E66" s="283">
        <v>1993.7</v>
      </c>
      <c r="F66" s="283">
        <v>1993.7</v>
      </c>
      <c r="G66" s="283">
        <v>1993.6</v>
      </c>
      <c r="H66" s="283">
        <v>0</v>
      </c>
      <c r="I66" s="283">
        <v>0</v>
      </c>
      <c r="J66" s="283">
        <v>0</v>
      </c>
      <c r="K66" s="287">
        <v>0</v>
      </c>
      <c r="L66" s="287">
        <v>0</v>
      </c>
      <c r="M66" s="288">
        <v>0</v>
      </c>
      <c r="N66" s="289">
        <f t="shared" si="28"/>
        <v>1993.7</v>
      </c>
      <c r="O66" s="290">
        <f t="shared" si="28"/>
        <v>1993.6</v>
      </c>
    </row>
    <row r="67" spans="1:15" s="1" customFormat="1" ht="39.75" customHeight="1" x14ac:dyDescent="0.2">
      <c r="A67" s="5" t="s">
        <v>12</v>
      </c>
      <c r="B67" s="34"/>
      <c r="C67" s="34"/>
      <c r="D67" s="18">
        <f>SUM(D69+D70)</f>
        <v>3834</v>
      </c>
      <c r="E67" s="18">
        <f>SUM(E69+E70)</f>
        <v>3834</v>
      </c>
      <c r="F67" s="18">
        <f>SUM(F69+F70)</f>
        <v>3834</v>
      </c>
      <c r="G67" s="18">
        <f>SUM(G69+G70)</f>
        <v>3833.8</v>
      </c>
      <c r="H67" s="18">
        <f>SUM(H69+H70)</f>
        <v>0</v>
      </c>
      <c r="I67" s="18">
        <f>SUM(I63+I66)</f>
        <v>0</v>
      </c>
      <c r="J67" s="18">
        <f>SUM(J69+J70)</f>
        <v>0</v>
      </c>
      <c r="K67" s="18">
        <f>SUM(K69+K70)</f>
        <v>0</v>
      </c>
      <c r="L67" s="18">
        <f>SUM(L63+L66)</f>
        <v>0</v>
      </c>
      <c r="M67" s="18">
        <f>SUM(M63+M66)</f>
        <v>0</v>
      </c>
      <c r="N67" s="18">
        <f>SUM(N69+N70)</f>
        <v>3834</v>
      </c>
      <c r="O67" s="18">
        <f>SUM(O69+O70)</f>
        <v>3833.8</v>
      </c>
    </row>
    <row r="68" spans="1:15" s="1" customFormat="1" ht="32.25" customHeight="1" x14ac:dyDescent="0.2">
      <c r="A68" s="92"/>
      <c r="B68" s="20" t="s">
        <v>58</v>
      </c>
      <c r="C68" s="20"/>
      <c r="D68" s="18"/>
      <c r="E68" s="18"/>
      <c r="F68" s="6"/>
      <c r="G68" s="6"/>
      <c r="H68" s="6"/>
      <c r="I68" s="6"/>
      <c r="J68" s="6"/>
      <c r="K68" s="6"/>
      <c r="L68" s="18"/>
      <c r="M68" s="122"/>
      <c r="N68" s="6"/>
      <c r="O68" s="128"/>
    </row>
    <row r="69" spans="1:15" s="1" customFormat="1" ht="32.25" customHeight="1" x14ac:dyDescent="0.2">
      <c r="A69" s="92"/>
      <c r="B69" s="20" t="s">
        <v>59</v>
      </c>
      <c r="C69" s="20"/>
      <c r="D69" s="18">
        <f t="shared" ref="D69:O69" si="29">SUM(D65)</f>
        <v>1840.3</v>
      </c>
      <c r="E69" s="18">
        <f t="shared" si="29"/>
        <v>1840.3</v>
      </c>
      <c r="F69" s="18">
        <f t="shared" si="29"/>
        <v>1840.3</v>
      </c>
      <c r="G69" s="18">
        <f t="shared" si="29"/>
        <v>1840.2</v>
      </c>
      <c r="H69" s="18">
        <f t="shared" si="29"/>
        <v>0</v>
      </c>
      <c r="I69" s="18">
        <f t="shared" si="29"/>
        <v>0</v>
      </c>
      <c r="J69" s="18">
        <f t="shared" si="29"/>
        <v>0</v>
      </c>
      <c r="K69" s="18">
        <f t="shared" si="29"/>
        <v>0</v>
      </c>
      <c r="L69" s="18">
        <f t="shared" si="29"/>
        <v>0</v>
      </c>
      <c r="M69" s="18">
        <f t="shared" si="29"/>
        <v>0</v>
      </c>
      <c r="N69" s="18">
        <f t="shared" si="29"/>
        <v>1840.3</v>
      </c>
      <c r="O69" s="18">
        <f t="shared" si="29"/>
        <v>1840.2</v>
      </c>
    </row>
    <row r="70" spans="1:15" s="1" customFormat="1" ht="32.25" customHeight="1" thickBot="1" x14ac:dyDescent="0.25">
      <c r="A70" s="92"/>
      <c r="B70" s="33" t="s">
        <v>60</v>
      </c>
      <c r="C70" s="78"/>
      <c r="D70" s="19">
        <f t="shared" ref="D70:O70" si="30">SUM(D66)</f>
        <v>1993.7</v>
      </c>
      <c r="E70" s="19">
        <f t="shared" si="30"/>
        <v>1993.7</v>
      </c>
      <c r="F70" s="19">
        <f t="shared" si="30"/>
        <v>1993.7</v>
      </c>
      <c r="G70" s="19">
        <f t="shared" si="30"/>
        <v>1993.6</v>
      </c>
      <c r="H70" s="19">
        <f t="shared" si="30"/>
        <v>0</v>
      </c>
      <c r="I70" s="19">
        <f t="shared" si="30"/>
        <v>0</v>
      </c>
      <c r="J70" s="19">
        <f t="shared" si="30"/>
        <v>0</v>
      </c>
      <c r="K70" s="19">
        <f t="shared" si="30"/>
        <v>0</v>
      </c>
      <c r="L70" s="19">
        <f t="shared" si="30"/>
        <v>0</v>
      </c>
      <c r="M70" s="19">
        <f t="shared" si="30"/>
        <v>0</v>
      </c>
      <c r="N70" s="19">
        <f t="shared" si="30"/>
        <v>1993.7</v>
      </c>
      <c r="O70" s="19">
        <f t="shared" si="30"/>
        <v>1993.6</v>
      </c>
    </row>
    <row r="71" spans="1:15" s="1" customFormat="1" ht="85.5" customHeight="1" x14ac:dyDescent="0.2">
      <c r="A71" s="613" t="s">
        <v>161</v>
      </c>
      <c r="B71" s="419" t="s">
        <v>92</v>
      </c>
      <c r="C71" s="419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5"/>
      <c r="O71" s="435"/>
    </row>
    <row r="72" spans="1:15" s="1" customFormat="1" ht="18.75" customHeight="1" x14ac:dyDescent="0.2">
      <c r="A72" s="614"/>
      <c r="B72" s="434" t="s">
        <v>59</v>
      </c>
      <c r="C72" s="419"/>
      <c r="D72" s="426">
        <v>2184.5</v>
      </c>
      <c r="E72" s="426">
        <v>2184.5</v>
      </c>
      <c r="F72" s="426">
        <v>550</v>
      </c>
      <c r="G72" s="426">
        <v>180.9</v>
      </c>
      <c r="H72" s="426">
        <v>550</v>
      </c>
      <c r="I72" s="426">
        <v>183.21</v>
      </c>
      <c r="J72" s="426">
        <v>550</v>
      </c>
      <c r="K72" s="426">
        <v>10.62</v>
      </c>
      <c r="L72" s="426">
        <v>534.5</v>
      </c>
      <c r="M72" s="426">
        <v>1665.91</v>
      </c>
      <c r="N72" s="289">
        <v>2184.5</v>
      </c>
      <c r="O72" s="290">
        <f>SUM(G72+I72+K72+M72)</f>
        <v>2040.64</v>
      </c>
    </row>
    <row r="73" spans="1:15" s="1" customFormat="1" ht="32.25" customHeight="1" x14ac:dyDescent="0.2">
      <c r="A73" s="614"/>
      <c r="B73" s="419" t="s">
        <v>93</v>
      </c>
      <c r="C73" s="419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62"/>
      <c r="O73" s="462"/>
    </row>
    <row r="74" spans="1:15" s="1" customFormat="1" ht="21.75" customHeight="1" x14ac:dyDescent="0.2">
      <c r="A74" s="614"/>
      <c r="B74" s="434" t="s">
        <v>59</v>
      </c>
      <c r="C74" s="419"/>
      <c r="D74" s="426">
        <v>500</v>
      </c>
      <c r="E74" s="426">
        <v>500</v>
      </c>
      <c r="F74" s="426">
        <v>0</v>
      </c>
      <c r="G74" s="426">
        <v>0</v>
      </c>
      <c r="H74" s="426">
        <v>500</v>
      </c>
      <c r="I74" s="426">
        <v>0</v>
      </c>
      <c r="J74" s="426">
        <v>0</v>
      </c>
      <c r="K74" s="426">
        <v>0</v>
      </c>
      <c r="L74" s="426">
        <v>0</v>
      </c>
      <c r="M74" s="426">
        <v>499.55</v>
      </c>
      <c r="N74" s="289">
        <v>500</v>
      </c>
      <c r="O74" s="290">
        <f>SUM(G74+I74+K74+M74)</f>
        <v>499.55</v>
      </c>
    </row>
    <row r="75" spans="1:15" s="433" customFormat="1" ht="81" customHeight="1" x14ac:dyDescent="0.2">
      <c r="A75" s="614"/>
      <c r="B75" s="419" t="s">
        <v>94</v>
      </c>
      <c r="C75" s="419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63"/>
      <c r="O75" s="463"/>
    </row>
    <row r="76" spans="1:15" s="433" customFormat="1" ht="21.75" customHeight="1" x14ac:dyDescent="0.2">
      <c r="A76" s="614"/>
      <c r="B76" s="434" t="s">
        <v>59</v>
      </c>
      <c r="C76" s="419"/>
      <c r="D76" s="426">
        <v>50</v>
      </c>
      <c r="E76" s="426">
        <v>50</v>
      </c>
      <c r="F76" s="426">
        <v>0</v>
      </c>
      <c r="G76" s="426">
        <v>0</v>
      </c>
      <c r="H76" s="426">
        <v>50</v>
      </c>
      <c r="I76" s="426">
        <v>0</v>
      </c>
      <c r="J76" s="426">
        <v>0</v>
      </c>
      <c r="K76" s="426">
        <v>0</v>
      </c>
      <c r="L76" s="426">
        <v>0</v>
      </c>
      <c r="M76" s="426">
        <v>0</v>
      </c>
      <c r="N76" s="289">
        <v>50</v>
      </c>
      <c r="O76" s="290">
        <v>0</v>
      </c>
    </row>
    <row r="77" spans="1:15" s="501" customFormat="1" ht="72.75" customHeight="1" x14ac:dyDescent="0.2">
      <c r="A77" s="614"/>
      <c r="B77" s="515" t="s">
        <v>195</v>
      </c>
      <c r="C77" s="515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289"/>
      <c r="O77" s="290"/>
    </row>
    <row r="78" spans="1:15" s="501" customFormat="1" ht="21.75" customHeight="1" x14ac:dyDescent="0.2">
      <c r="A78" s="614"/>
      <c r="B78" s="516" t="s">
        <v>59</v>
      </c>
      <c r="C78" s="515"/>
      <c r="D78" s="517">
        <v>70</v>
      </c>
      <c r="E78" s="517">
        <v>70</v>
      </c>
      <c r="F78" s="517"/>
      <c r="G78" s="517"/>
      <c r="H78" s="517"/>
      <c r="I78" s="517"/>
      <c r="J78" s="517">
        <v>0</v>
      </c>
      <c r="K78" s="517">
        <v>0</v>
      </c>
      <c r="L78" s="517">
        <v>70</v>
      </c>
      <c r="M78" s="517">
        <v>56.82</v>
      </c>
      <c r="N78" s="289">
        <v>70</v>
      </c>
      <c r="O78" s="290">
        <f>SUM(G78+I78+K78+M78)</f>
        <v>56.82</v>
      </c>
    </row>
    <row r="79" spans="1:15" s="1" customFormat="1" ht="111.75" customHeight="1" x14ac:dyDescent="0.2">
      <c r="A79" s="614"/>
      <c r="B79" s="419" t="s">
        <v>162</v>
      </c>
      <c r="C79" s="419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63"/>
      <c r="O79" s="463"/>
    </row>
    <row r="80" spans="1:15" ht="27" customHeight="1" x14ac:dyDescent="0.2">
      <c r="A80" s="615"/>
      <c r="B80" s="434" t="s">
        <v>59</v>
      </c>
      <c r="C80" s="419"/>
      <c r="D80" s="426">
        <v>30</v>
      </c>
      <c r="E80" s="426">
        <v>30</v>
      </c>
      <c r="F80" s="426">
        <v>0</v>
      </c>
      <c r="G80" s="426">
        <v>0</v>
      </c>
      <c r="H80" s="426">
        <v>30</v>
      </c>
      <c r="I80" s="426">
        <v>0</v>
      </c>
      <c r="J80" s="426">
        <v>0</v>
      </c>
      <c r="K80" s="426">
        <v>0</v>
      </c>
      <c r="L80" s="426">
        <v>0</v>
      </c>
      <c r="M80" s="426">
        <v>0</v>
      </c>
      <c r="N80" s="289">
        <v>30</v>
      </c>
      <c r="O80" s="290">
        <v>0</v>
      </c>
    </row>
    <row r="81" spans="1:15" ht="48" customHeight="1" x14ac:dyDescent="0.2">
      <c r="A81" s="5" t="s">
        <v>12</v>
      </c>
      <c r="B81" s="34"/>
      <c r="C81" s="34"/>
      <c r="D81" s="436">
        <f>SUM(D72+D74+D80+D76+D78)</f>
        <v>2834.5</v>
      </c>
      <c r="E81" s="440">
        <f>SUM(E72+E74+E80+E76+E78)</f>
        <v>2834.5</v>
      </c>
      <c r="F81" s="440">
        <f t="shared" ref="F81:K81" si="31">SUM(F72+F74+F80+F76)</f>
        <v>550</v>
      </c>
      <c r="G81" s="440">
        <f t="shared" si="31"/>
        <v>180.9</v>
      </c>
      <c r="H81" s="440">
        <f t="shared" si="31"/>
        <v>1130</v>
      </c>
      <c r="I81" s="440">
        <f t="shared" si="31"/>
        <v>183.21</v>
      </c>
      <c r="J81" s="440">
        <f t="shared" si="31"/>
        <v>550</v>
      </c>
      <c r="K81" s="440">
        <f t="shared" si="31"/>
        <v>10.62</v>
      </c>
      <c r="L81" s="440">
        <f>SUM(L72+L74+L80+L76+L78)</f>
        <v>604.5</v>
      </c>
      <c r="M81" s="440">
        <f>SUM(M72+M74+M80+M76+M78)</f>
        <v>2222.2800000000002</v>
      </c>
      <c r="N81" s="440">
        <f>SUM(N72+N74+N80+N76+N78)</f>
        <v>2834.5</v>
      </c>
      <c r="O81" s="440">
        <f>SUM(O72+O74+O80+O76+O78)</f>
        <v>2597.0100000000002</v>
      </c>
    </row>
    <row r="82" spans="1:15" ht="24.75" customHeight="1" x14ac:dyDescent="0.2">
      <c r="A82" s="619"/>
      <c r="B82" s="20" t="s">
        <v>58</v>
      </c>
      <c r="C82" s="20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6"/>
      <c r="O82" s="6"/>
    </row>
    <row r="83" spans="1:15" ht="28.5" customHeight="1" x14ac:dyDescent="0.2">
      <c r="A83" s="574"/>
      <c r="B83" s="20" t="s">
        <v>59</v>
      </c>
      <c r="C83" s="20"/>
      <c r="D83" s="436">
        <f t="shared" ref="D83:O83" si="32">SUM(D81)</f>
        <v>2834.5</v>
      </c>
      <c r="E83" s="436">
        <f t="shared" si="32"/>
        <v>2834.5</v>
      </c>
      <c r="F83" s="436">
        <f t="shared" si="32"/>
        <v>550</v>
      </c>
      <c r="G83" s="436">
        <f t="shared" si="32"/>
        <v>180.9</v>
      </c>
      <c r="H83" s="436">
        <f t="shared" si="32"/>
        <v>1130</v>
      </c>
      <c r="I83" s="436">
        <f t="shared" si="32"/>
        <v>183.21</v>
      </c>
      <c r="J83" s="436">
        <f t="shared" si="32"/>
        <v>550</v>
      </c>
      <c r="K83" s="436">
        <f t="shared" si="32"/>
        <v>10.62</v>
      </c>
      <c r="L83" s="436">
        <f t="shared" si="32"/>
        <v>604.5</v>
      </c>
      <c r="M83" s="436">
        <f t="shared" si="32"/>
        <v>2222.2800000000002</v>
      </c>
      <c r="N83" s="6">
        <f t="shared" si="32"/>
        <v>2834.5</v>
      </c>
      <c r="O83" s="6">
        <f t="shared" si="32"/>
        <v>2597.0100000000002</v>
      </c>
    </row>
    <row r="84" spans="1:15" s="1" customFormat="1" ht="32.25" customHeight="1" thickBot="1" x14ac:dyDescent="0.25">
      <c r="A84" s="575"/>
      <c r="B84" s="33" t="s">
        <v>60</v>
      </c>
      <c r="C84" s="78"/>
      <c r="D84" s="436">
        <v>0</v>
      </c>
      <c r="E84" s="436">
        <v>0</v>
      </c>
      <c r="F84" s="436"/>
      <c r="G84" s="436"/>
      <c r="H84" s="436"/>
      <c r="I84" s="436"/>
      <c r="J84" s="436">
        <v>0</v>
      </c>
      <c r="K84" s="436">
        <v>0</v>
      </c>
      <c r="L84" s="436">
        <v>0</v>
      </c>
      <c r="M84" s="437"/>
      <c r="N84" s="6"/>
      <c r="O84" s="128"/>
    </row>
    <row r="85" spans="1:15" s="1" customFormat="1" ht="32.25" customHeight="1" x14ac:dyDescent="0.25">
      <c r="A85" s="624" t="s">
        <v>23</v>
      </c>
      <c r="B85" s="520" t="s">
        <v>124</v>
      </c>
      <c r="C85" s="525"/>
      <c r="D85" s="517"/>
      <c r="E85" s="517"/>
      <c r="F85" s="517"/>
      <c r="G85" s="517"/>
      <c r="H85" s="517"/>
      <c r="I85" s="517"/>
      <c r="J85" s="517"/>
      <c r="K85" s="517"/>
      <c r="L85" s="517"/>
      <c r="M85" s="526"/>
      <c r="N85" s="517"/>
      <c r="O85" s="527"/>
    </row>
    <row r="86" spans="1:15" s="1" customFormat="1" ht="22.5" customHeight="1" x14ac:dyDescent="0.25">
      <c r="A86" s="599"/>
      <c r="B86" s="516" t="s">
        <v>59</v>
      </c>
      <c r="C86" s="525"/>
      <c r="D86" s="517">
        <v>2275.4</v>
      </c>
      <c r="E86" s="517">
        <v>2275.4</v>
      </c>
      <c r="F86" s="517">
        <v>400</v>
      </c>
      <c r="G86" s="517">
        <v>346.1</v>
      </c>
      <c r="H86" s="517">
        <v>1720</v>
      </c>
      <c r="I86" s="517">
        <v>1718.02</v>
      </c>
      <c r="J86" s="517">
        <v>0</v>
      </c>
      <c r="K86" s="517">
        <v>0</v>
      </c>
      <c r="L86" s="517">
        <v>155.4</v>
      </c>
      <c r="M86" s="517">
        <v>130.99</v>
      </c>
      <c r="N86" s="528">
        <f>SUM(F86+H86+J86+L86)</f>
        <v>2275.4</v>
      </c>
      <c r="O86" s="528">
        <f>SUM(G86+I86+K86+M86)</f>
        <v>2195.1099999999997</v>
      </c>
    </row>
    <row r="87" spans="1:15" s="1" customFormat="1" ht="38.25" customHeight="1" x14ac:dyDescent="0.25">
      <c r="A87" s="599"/>
      <c r="B87" s="515" t="s">
        <v>151</v>
      </c>
      <c r="C87" s="525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29"/>
      <c r="O87" s="530"/>
    </row>
    <row r="88" spans="1:15" s="1" customFormat="1" ht="24.75" customHeight="1" x14ac:dyDescent="0.25">
      <c r="A88" s="599"/>
      <c r="B88" s="516" t="s">
        <v>59</v>
      </c>
      <c r="C88" s="525"/>
      <c r="D88" s="517">
        <v>11776.5</v>
      </c>
      <c r="E88" s="517">
        <v>11776.5</v>
      </c>
      <c r="F88" s="517">
        <v>2901.6</v>
      </c>
      <c r="G88" s="517">
        <v>0</v>
      </c>
      <c r="H88" s="517">
        <v>2901.6</v>
      </c>
      <c r="I88" s="517">
        <v>4403.1000000000004</v>
      </c>
      <c r="J88" s="517">
        <v>1325.82</v>
      </c>
      <c r="K88" s="517">
        <v>0</v>
      </c>
      <c r="L88" s="517">
        <v>4647.4799999999996</v>
      </c>
      <c r="M88" s="517">
        <v>4647.4799999999996</v>
      </c>
      <c r="N88" s="528">
        <f>SUM(F88+H88+J88+L88)</f>
        <v>11776.5</v>
      </c>
      <c r="O88" s="528">
        <f>SUM(G88+I88+K88+M88)</f>
        <v>9050.58</v>
      </c>
    </row>
    <row r="89" spans="1:15" s="1" customFormat="1" ht="32.25" customHeight="1" x14ac:dyDescent="0.25">
      <c r="A89" s="599"/>
      <c r="B89" s="515" t="s">
        <v>95</v>
      </c>
      <c r="C89" s="525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</row>
    <row r="90" spans="1:15" s="1" customFormat="1" ht="26.25" customHeight="1" x14ac:dyDescent="0.25">
      <c r="A90" s="599"/>
      <c r="B90" s="516" t="s">
        <v>59</v>
      </c>
      <c r="C90" s="525"/>
      <c r="D90" s="517">
        <v>11204</v>
      </c>
      <c r="E90" s="517">
        <v>11204</v>
      </c>
      <c r="F90" s="517">
        <v>3615.2</v>
      </c>
      <c r="G90" s="517">
        <v>3029.6</v>
      </c>
      <c r="H90" s="517">
        <v>2889.23</v>
      </c>
      <c r="I90" s="517">
        <v>1708.71</v>
      </c>
      <c r="J90" s="517">
        <v>1661.49</v>
      </c>
      <c r="K90" s="517">
        <v>1661.49</v>
      </c>
      <c r="L90" s="517">
        <v>3038.08</v>
      </c>
      <c r="M90" s="517">
        <v>3038.08</v>
      </c>
      <c r="N90" s="528">
        <f>SUM(F90+H90+J90+L90)</f>
        <v>11204</v>
      </c>
      <c r="O90" s="528">
        <f>SUM(G90+I90+K90+M90)</f>
        <v>9437.8799999999992</v>
      </c>
    </row>
    <row r="91" spans="1:15" s="1" customFormat="1" ht="56.25" customHeight="1" x14ac:dyDescent="0.25">
      <c r="A91" s="599"/>
      <c r="B91" s="515" t="s">
        <v>96</v>
      </c>
      <c r="C91" s="525"/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</row>
    <row r="92" spans="1:15" s="1" customFormat="1" ht="21.75" customHeight="1" x14ac:dyDescent="0.25">
      <c r="A92" s="599"/>
      <c r="B92" s="516" t="s">
        <v>59</v>
      </c>
      <c r="C92" s="525"/>
      <c r="D92" s="517">
        <v>4959.5</v>
      </c>
      <c r="E92" s="517">
        <v>4959.5</v>
      </c>
      <c r="F92" s="517">
        <v>0</v>
      </c>
      <c r="G92" s="517">
        <v>0</v>
      </c>
      <c r="H92" s="517">
        <v>805.92</v>
      </c>
      <c r="I92" s="517">
        <v>805.92</v>
      </c>
      <c r="J92" s="517">
        <v>1537.44</v>
      </c>
      <c r="K92" s="517">
        <v>1537.44</v>
      </c>
      <c r="L92" s="517">
        <v>2616.14</v>
      </c>
      <c r="M92" s="517">
        <v>2616.14</v>
      </c>
      <c r="N92" s="528">
        <f>SUM(F92+H92+J92+L92)</f>
        <v>4959.5</v>
      </c>
      <c r="O92" s="528">
        <f>SUM(G92+I92+K92+M92)</f>
        <v>4959.5</v>
      </c>
    </row>
    <row r="93" spans="1:15" s="1" customFormat="1" ht="32.25" customHeight="1" x14ac:dyDescent="0.25">
      <c r="A93" s="599"/>
      <c r="B93" s="516" t="s">
        <v>152</v>
      </c>
      <c r="C93" s="525"/>
      <c r="D93" s="517"/>
      <c r="E93" s="517"/>
      <c r="F93" s="546"/>
      <c r="G93" s="517"/>
      <c r="H93" s="517"/>
      <c r="I93" s="517"/>
      <c r="J93" s="517"/>
      <c r="K93" s="517"/>
      <c r="L93" s="517"/>
      <c r="M93" s="517"/>
      <c r="N93" s="529"/>
      <c r="O93" s="530"/>
    </row>
    <row r="94" spans="1:15" s="1" customFormat="1" ht="32.25" customHeight="1" x14ac:dyDescent="0.25">
      <c r="A94" s="599"/>
      <c r="B94" s="516" t="s">
        <v>59</v>
      </c>
      <c r="C94" s="525"/>
      <c r="D94" s="517">
        <v>667.8</v>
      </c>
      <c r="E94" s="517">
        <v>667.8</v>
      </c>
      <c r="F94" s="517">
        <v>0</v>
      </c>
      <c r="G94" s="517">
        <v>0</v>
      </c>
      <c r="H94" s="517">
        <v>667.8</v>
      </c>
      <c r="I94" s="517">
        <v>667.8</v>
      </c>
      <c r="J94" s="517">
        <v>0</v>
      </c>
      <c r="K94" s="517">
        <v>0</v>
      </c>
      <c r="L94" s="517"/>
      <c r="M94" s="517"/>
      <c r="N94" s="528">
        <f>SUM(F94+H94+J94+L94)</f>
        <v>667.8</v>
      </c>
      <c r="O94" s="528">
        <f>SUM(G94+I94+K94+M94)</f>
        <v>667.8</v>
      </c>
    </row>
    <row r="95" spans="1:15" s="1" customFormat="1" ht="32.25" customHeight="1" x14ac:dyDescent="0.25">
      <c r="A95" s="599"/>
      <c r="B95" s="515" t="s">
        <v>97</v>
      </c>
      <c r="C95" s="525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</row>
    <row r="96" spans="1:15" s="1" customFormat="1" ht="32.25" customHeight="1" x14ac:dyDescent="0.25">
      <c r="A96" s="599"/>
      <c r="B96" s="516" t="s">
        <v>59</v>
      </c>
      <c r="C96" s="525"/>
      <c r="D96" s="517">
        <v>840</v>
      </c>
      <c r="E96" s="517">
        <v>840</v>
      </c>
      <c r="F96" s="517">
        <v>0</v>
      </c>
      <c r="G96" s="517">
        <v>0</v>
      </c>
      <c r="H96" s="517">
        <v>0</v>
      </c>
      <c r="I96" s="517">
        <v>0</v>
      </c>
      <c r="J96" s="517">
        <v>40</v>
      </c>
      <c r="K96" s="517">
        <v>39.950000000000003</v>
      </c>
      <c r="L96" s="517">
        <v>800</v>
      </c>
      <c r="M96" s="517">
        <v>796</v>
      </c>
      <c r="N96" s="528">
        <f>SUM(F96+H96+J96+L96)</f>
        <v>840</v>
      </c>
      <c r="O96" s="528">
        <f>SUM(G96+I96+K96+M96)</f>
        <v>835.95</v>
      </c>
    </row>
    <row r="97" spans="1:15" s="423" customFormat="1" ht="32.25" customHeight="1" x14ac:dyDescent="0.25">
      <c r="A97" s="599"/>
      <c r="B97" s="515" t="s">
        <v>153</v>
      </c>
      <c r="C97" s="525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29"/>
      <c r="O97" s="530"/>
    </row>
    <row r="98" spans="1:15" s="423" customFormat="1" ht="32.25" customHeight="1" x14ac:dyDescent="0.25">
      <c r="A98" s="599"/>
      <c r="B98" s="516" t="s">
        <v>59</v>
      </c>
      <c r="C98" s="525"/>
      <c r="D98" s="517">
        <v>517.5</v>
      </c>
      <c r="E98" s="517">
        <v>517.5</v>
      </c>
      <c r="F98" s="517">
        <v>0</v>
      </c>
      <c r="G98" s="517">
        <v>0</v>
      </c>
      <c r="H98" s="517"/>
      <c r="I98" s="517">
        <v>0</v>
      </c>
      <c r="J98" s="517">
        <v>0</v>
      </c>
      <c r="K98" s="517">
        <v>0</v>
      </c>
      <c r="L98" s="517">
        <v>517.5</v>
      </c>
      <c r="M98" s="517">
        <v>517.5</v>
      </c>
      <c r="N98" s="528">
        <f>SUM(F98+H98+J98+L98)</f>
        <v>517.5</v>
      </c>
      <c r="O98" s="528">
        <f>SUM(G98+I98+K98+M98)</f>
        <v>517.5</v>
      </c>
    </row>
    <row r="99" spans="1:15" s="501" customFormat="1" ht="32.25" customHeight="1" x14ac:dyDescent="0.25">
      <c r="A99" s="599"/>
      <c r="B99" s="515" t="s">
        <v>196</v>
      </c>
      <c r="C99" s="525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28"/>
      <c r="O99" s="528"/>
    </row>
    <row r="100" spans="1:15" s="501" customFormat="1" ht="32.25" customHeight="1" x14ac:dyDescent="0.25">
      <c r="A100" s="599"/>
      <c r="B100" s="516" t="s">
        <v>59</v>
      </c>
      <c r="C100" s="525"/>
      <c r="D100" s="517">
        <v>1795</v>
      </c>
      <c r="E100" s="517">
        <v>1795</v>
      </c>
      <c r="F100" s="517"/>
      <c r="G100" s="517"/>
      <c r="H100" s="517"/>
      <c r="I100" s="517"/>
      <c r="J100" s="517"/>
      <c r="K100" s="517"/>
      <c r="L100" s="517">
        <v>1795</v>
      </c>
      <c r="M100" s="517">
        <v>1793.42</v>
      </c>
      <c r="N100" s="528">
        <f>SUM(F100+H100+J100+L100)</f>
        <v>1795</v>
      </c>
      <c r="O100" s="528">
        <f>SUM(G100+I100+K100+M100)</f>
        <v>1793.42</v>
      </c>
    </row>
    <row r="101" spans="1:15" s="423" customFormat="1" ht="32.25" customHeight="1" x14ac:dyDescent="0.25">
      <c r="A101" s="599"/>
      <c r="B101" s="515" t="s">
        <v>98</v>
      </c>
      <c r="C101" s="525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</row>
    <row r="102" spans="1:15" s="423" customFormat="1" ht="32.25" customHeight="1" x14ac:dyDescent="0.25">
      <c r="A102" s="599"/>
      <c r="B102" s="516" t="s">
        <v>59</v>
      </c>
      <c r="C102" s="525"/>
      <c r="D102" s="517">
        <v>1000</v>
      </c>
      <c r="E102" s="517">
        <v>1000</v>
      </c>
      <c r="F102" s="517">
        <v>0</v>
      </c>
      <c r="G102" s="517">
        <v>0</v>
      </c>
      <c r="H102" s="517">
        <v>0</v>
      </c>
      <c r="I102" s="517">
        <v>0</v>
      </c>
      <c r="J102" s="517">
        <v>500</v>
      </c>
      <c r="K102" s="517">
        <v>228.33</v>
      </c>
      <c r="L102" s="517">
        <v>500</v>
      </c>
      <c r="M102" s="517">
        <v>271.45</v>
      </c>
      <c r="N102" s="528">
        <f>SUM(F102+H102+J102+L102)</f>
        <v>1000</v>
      </c>
      <c r="O102" s="528">
        <f>SUM(G102+I102+K102+M102)</f>
        <v>499.78</v>
      </c>
    </row>
    <row r="103" spans="1:15" s="423" customFormat="1" ht="51" customHeight="1" x14ac:dyDescent="0.25">
      <c r="A103" s="599"/>
      <c r="B103" s="515" t="s">
        <v>171</v>
      </c>
      <c r="C103" s="525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</row>
    <row r="104" spans="1:15" s="423" customFormat="1" ht="32.25" customHeight="1" x14ac:dyDescent="0.25">
      <c r="A104" s="599"/>
      <c r="B104" s="516" t="s">
        <v>59</v>
      </c>
      <c r="C104" s="525"/>
      <c r="D104" s="517">
        <v>1260.2</v>
      </c>
      <c r="E104" s="517">
        <v>1260.2</v>
      </c>
      <c r="F104" s="517">
        <v>0</v>
      </c>
      <c r="G104" s="517">
        <v>0</v>
      </c>
      <c r="H104" s="517">
        <v>0</v>
      </c>
      <c r="I104" s="517">
        <v>0</v>
      </c>
      <c r="J104" s="517">
        <v>1260.2</v>
      </c>
      <c r="K104" s="517">
        <v>0</v>
      </c>
      <c r="L104" s="517"/>
      <c r="M104" s="517">
        <v>1260.1400000000001</v>
      </c>
      <c r="N104" s="528">
        <f>SUM(F104+H104+J104+L104)</f>
        <v>1260.2</v>
      </c>
      <c r="O104" s="528">
        <f>SUM(G104+I104+K104+M104)</f>
        <v>1260.1400000000001</v>
      </c>
    </row>
    <row r="105" spans="1:15" s="423" customFormat="1" ht="32.25" customHeight="1" x14ac:dyDescent="0.25">
      <c r="A105" s="599"/>
      <c r="B105" s="516" t="s">
        <v>172</v>
      </c>
      <c r="C105" s="525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</row>
    <row r="106" spans="1:15" s="423" customFormat="1" ht="32.25" customHeight="1" x14ac:dyDescent="0.25">
      <c r="A106" s="599"/>
      <c r="B106" s="516" t="s">
        <v>59</v>
      </c>
      <c r="C106" s="525"/>
      <c r="D106" s="517">
        <v>290</v>
      </c>
      <c r="E106" s="517">
        <v>290</v>
      </c>
      <c r="F106" s="517">
        <v>0</v>
      </c>
      <c r="G106" s="517">
        <v>0</v>
      </c>
      <c r="H106" s="517">
        <v>290</v>
      </c>
      <c r="I106" s="517">
        <v>290</v>
      </c>
      <c r="J106" s="517">
        <v>0</v>
      </c>
      <c r="K106" s="517">
        <v>0</v>
      </c>
      <c r="L106" s="517"/>
      <c r="M106" s="517"/>
      <c r="N106" s="528">
        <f>SUM(F106+H106+J106+L106)</f>
        <v>290</v>
      </c>
      <c r="O106" s="528">
        <f>SUM(G106+I106+K106+M106)</f>
        <v>290</v>
      </c>
    </row>
    <row r="107" spans="1:15" s="423" customFormat="1" ht="32.25" customHeight="1" x14ac:dyDescent="0.25">
      <c r="A107" s="599"/>
      <c r="B107" s="515" t="s">
        <v>154</v>
      </c>
      <c r="C107" s="525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</row>
    <row r="108" spans="1:15" s="423" customFormat="1" ht="32.25" customHeight="1" x14ac:dyDescent="0.25">
      <c r="A108" s="599"/>
      <c r="B108" s="516" t="s">
        <v>59</v>
      </c>
      <c r="C108" s="525"/>
      <c r="D108" s="517">
        <v>332</v>
      </c>
      <c r="E108" s="517">
        <v>332</v>
      </c>
      <c r="F108" s="517">
        <v>0</v>
      </c>
      <c r="G108" s="517">
        <v>0</v>
      </c>
      <c r="H108" s="517">
        <v>178.8</v>
      </c>
      <c r="I108" s="517">
        <v>178.8</v>
      </c>
      <c r="J108" s="517">
        <v>153.19999999999999</v>
      </c>
      <c r="K108" s="517">
        <v>153.15</v>
      </c>
      <c r="L108" s="517"/>
      <c r="M108" s="517"/>
      <c r="N108" s="528">
        <f>SUM(F108+H108+J108+L108)</f>
        <v>332</v>
      </c>
      <c r="O108" s="528">
        <f>SUM(G108+I108+K108+M108)</f>
        <v>331.95000000000005</v>
      </c>
    </row>
    <row r="109" spans="1:15" s="423" customFormat="1" ht="32.25" customHeight="1" x14ac:dyDescent="0.25">
      <c r="A109" s="599"/>
      <c r="B109" s="515" t="s">
        <v>155</v>
      </c>
      <c r="C109" s="525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</row>
    <row r="110" spans="1:15" s="423" customFormat="1" ht="32.25" customHeight="1" x14ac:dyDescent="0.25">
      <c r="A110" s="599"/>
      <c r="B110" s="516" t="s">
        <v>59</v>
      </c>
      <c r="C110" s="525"/>
      <c r="D110" s="517">
        <v>1203.9000000000001</v>
      </c>
      <c r="E110" s="517">
        <v>1203.9000000000001</v>
      </c>
      <c r="F110" s="517">
        <v>0</v>
      </c>
      <c r="G110" s="517">
        <v>0</v>
      </c>
      <c r="H110" s="517">
        <v>495</v>
      </c>
      <c r="I110" s="517">
        <v>495</v>
      </c>
      <c r="J110" s="517">
        <v>248.85</v>
      </c>
      <c r="K110" s="517">
        <v>248.85</v>
      </c>
      <c r="L110" s="517">
        <v>460.05</v>
      </c>
      <c r="M110" s="517">
        <v>460.04</v>
      </c>
      <c r="N110" s="528">
        <f>SUM(F110+H110+J110+L110)</f>
        <v>1203.9000000000001</v>
      </c>
      <c r="O110" s="528">
        <f>SUM(G110+I110+K110+M110)</f>
        <v>1203.8900000000001</v>
      </c>
    </row>
    <row r="111" spans="1:15" s="501" customFormat="1" ht="32.25" customHeight="1" x14ac:dyDescent="0.25">
      <c r="A111" s="599"/>
      <c r="B111" s="702" t="s">
        <v>184</v>
      </c>
      <c r="C111" s="525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28"/>
      <c r="O111" s="528"/>
    </row>
    <row r="112" spans="1:15" s="501" customFormat="1" ht="32.25" customHeight="1" x14ac:dyDescent="0.25">
      <c r="A112" s="599"/>
      <c r="B112" s="703" t="s">
        <v>59</v>
      </c>
      <c r="C112" s="525"/>
      <c r="D112" s="517">
        <v>330</v>
      </c>
      <c r="E112" s="517">
        <v>330</v>
      </c>
      <c r="F112" s="517">
        <v>0</v>
      </c>
      <c r="G112" s="517">
        <v>0</v>
      </c>
      <c r="H112" s="517">
        <v>0</v>
      </c>
      <c r="I112" s="517">
        <v>0</v>
      </c>
      <c r="J112" s="517">
        <v>0</v>
      </c>
      <c r="K112" s="517"/>
      <c r="L112" s="517">
        <v>330</v>
      </c>
      <c r="M112" s="517">
        <v>329.99</v>
      </c>
      <c r="N112" s="528">
        <f>SUM(F112+H112+J112+L112)</f>
        <v>330</v>
      </c>
      <c r="O112" s="528">
        <f>SUM(G112+I112+K112+M112)</f>
        <v>329.99</v>
      </c>
    </row>
    <row r="113" spans="1:15" s="423" customFormat="1" ht="32.25" customHeight="1" x14ac:dyDescent="0.25">
      <c r="A113" s="599"/>
      <c r="B113" s="515" t="s">
        <v>156</v>
      </c>
      <c r="C113" s="525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29"/>
      <c r="O113" s="530"/>
    </row>
    <row r="114" spans="1:15" s="423" customFormat="1" ht="32.25" customHeight="1" x14ac:dyDescent="0.25">
      <c r="A114" s="599"/>
      <c r="B114" s="516" t="s">
        <v>59</v>
      </c>
      <c r="C114" s="525"/>
      <c r="D114" s="517">
        <v>300</v>
      </c>
      <c r="E114" s="517">
        <v>300</v>
      </c>
      <c r="F114" s="517">
        <v>0</v>
      </c>
      <c r="G114" s="517">
        <v>0</v>
      </c>
      <c r="H114" s="517">
        <v>150</v>
      </c>
      <c r="I114" s="517">
        <v>0</v>
      </c>
      <c r="J114" s="517">
        <v>150</v>
      </c>
      <c r="K114" s="517">
        <v>180.62</v>
      </c>
      <c r="L114" s="517"/>
      <c r="M114" s="517">
        <v>119.38</v>
      </c>
      <c r="N114" s="528">
        <f>SUM(F114+H114+J114+L114)</f>
        <v>300</v>
      </c>
      <c r="O114" s="528">
        <f>SUM(G114+I114+K114+M114)</f>
        <v>300</v>
      </c>
    </row>
    <row r="115" spans="1:15" s="423" customFormat="1" ht="32.25" customHeight="1" x14ac:dyDescent="0.25">
      <c r="A115" s="599"/>
      <c r="B115" s="515" t="s">
        <v>157</v>
      </c>
      <c r="C115" s="525"/>
      <c r="D115" s="517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</row>
    <row r="116" spans="1:15" s="423" customFormat="1" ht="32.25" customHeight="1" x14ac:dyDescent="0.25">
      <c r="A116" s="599"/>
      <c r="B116" s="516" t="s">
        <v>59</v>
      </c>
      <c r="C116" s="525"/>
      <c r="D116" s="517">
        <v>756</v>
      </c>
      <c r="E116" s="517">
        <v>756</v>
      </c>
      <c r="F116" s="517">
        <v>0</v>
      </c>
      <c r="G116" s="517">
        <v>0</v>
      </c>
      <c r="H116" s="517">
        <v>0</v>
      </c>
      <c r="I116" s="517">
        <v>0</v>
      </c>
      <c r="J116" s="517">
        <v>756</v>
      </c>
      <c r="K116" s="517">
        <v>0</v>
      </c>
      <c r="L116" s="517">
        <v>0</v>
      </c>
      <c r="M116" s="517">
        <v>755.99</v>
      </c>
      <c r="N116" s="528">
        <f>SUM(F116+H116+J116+L116)</f>
        <v>756</v>
      </c>
      <c r="O116" s="528">
        <f>SUM(G116+I116+K116+M116)</f>
        <v>755.99</v>
      </c>
    </row>
    <row r="117" spans="1:15" s="423" customFormat="1" ht="54" customHeight="1" x14ac:dyDescent="0.25">
      <c r="A117" s="599"/>
      <c r="B117" s="515" t="s">
        <v>197</v>
      </c>
      <c r="C117" s="525"/>
      <c r="D117" s="517"/>
      <c r="E117" s="517"/>
      <c r="F117" s="517"/>
      <c r="G117" s="517"/>
      <c r="H117" s="517"/>
      <c r="I117" s="517"/>
      <c r="J117" s="517"/>
      <c r="K117" s="517"/>
      <c r="L117" s="517"/>
      <c r="M117" s="517"/>
      <c r="N117" s="517"/>
      <c r="O117" s="517"/>
    </row>
    <row r="118" spans="1:15" s="423" customFormat="1" ht="32.25" customHeight="1" x14ac:dyDescent="0.25">
      <c r="A118" s="599"/>
      <c r="B118" s="516" t="s">
        <v>59</v>
      </c>
      <c r="C118" s="525"/>
      <c r="D118" s="517">
        <v>200</v>
      </c>
      <c r="E118" s="517">
        <v>200</v>
      </c>
      <c r="F118" s="517">
        <v>0</v>
      </c>
      <c r="G118" s="517">
        <v>0</v>
      </c>
      <c r="H118" s="517">
        <v>200</v>
      </c>
      <c r="I118" s="517">
        <v>0</v>
      </c>
      <c r="J118" s="517">
        <v>0</v>
      </c>
      <c r="K118" s="517">
        <v>200</v>
      </c>
      <c r="L118" s="517"/>
      <c r="M118" s="517"/>
      <c r="N118" s="528">
        <f>SUM(F118+H118+J118+L118)</f>
        <v>200</v>
      </c>
      <c r="O118" s="528">
        <f>SUM(G118+I118+K118+M118)</f>
        <v>200</v>
      </c>
    </row>
    <row r="119" spans="1:15" s="423" customFormat="1" ht="55.5" customHeight="1" x14ac:dyDescent="0.25">
      <c r="A119" s="599"/>
      <c r="B119" s="515" t="s">
        <v>99</v>
      </c>
      <c r="C119" s="525"/>
      <c r="D119" s="517"/>
      <c r="E119" s="517"/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</row>
    <row r="120" spans="1:15" s="423" customFormat="1" ht="23.25" customHeight="1" x14ac:dyDescent="0.25">
      <c r="A120" s="599"/>
      <c r="B120" s="516" t="s">
        <v>59</v>
      </c>
      <c r="C120" s="525"/>
      <c r="D120" s="517">
        <v>497.4</v>
      </c>
      <c r="E120" s="517">
        <v>497.4</v>
      </c>
      <c r="F120" s="517">
        <v>0</v>
      </c>
      <c r="G120" s="517">
        <v>0</v>
      </c>
      <c r="H120" s="517">
        <v>497.4</v>
      </c>
      <c r="I120" s="517">
        <v>165.7</v>
      </c>
      <c r="J120" s="517">
        <v>0</v>
      </c>
      <c r="K120" s="517">
        <v>331.7</v>
      </c>
      <c r="L120" s="517"/>
      <c r="M120" s="517"/>
      <c r="N120" s="528">
        <f>SUM(F120+H120+J120+L120)</f>
        <v>497.4</v>
      </c>
      <c r="O120" s="528">
        <f>SUM(G120+I120+K120+M120)</f>
        <v>497.4</v>
      </c>
    </row>
    <row r="121" spans="1:15" s="423" customFormat="1" ht="51.75" customHeight="1" x14ac:dyDescent="0.25">
      <c r="A121" s="599"/>
      <c r="B121" s="515" t="s">
        <v>100</v>
      </c>
      <c r="C121" s="525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</row>
    <row r="122" spans="1:15" s="423" customFormat="1" ht="32.25" customHeight="1" x14ac:dyDescent="0.25">
      <c r="A122" s="599"/>
      <c r="B122" s="516" t="s">
        <v>59</v>
      </c>
      <c r="C122" s="525"/>
      <c r="D122" s="517">
        <v>3058.7</v>
      </c>
      <c r="E122" s="517">
        <v>3058.7</v>
      </c>
      <c r="F122" s="517">
        <v>0</v>
      </c>
      <c r="G122" s="517">
        <v>0</v>
      </c>
      <c r="H122" s="517">
        <v>1680</v>
      </c>
      <c r="I122" s="517">
        <v>1464.16</v>
      </c>
      <c r="J122" s="517">
        <v>0</v>
      </c>
      <c r="K122" s="517">
        <v>0</v>
      </c>
      <c r="L122" s="517">
        <v>1378.7</v>
      </c>
      <c r="M122" s="517">
        <v>1331.16</v>
      </c>
      <c r="N122" s="528">
        <f>SUM(F122+H122+J122+L122)</f>
        <v>3058.7</v>
      </c>
      <c r="O122" s="528">
        <f>SUM(G122+I122+K122+M122)</f>
        <v>2795.32</v>
      </c>
    </row>
    <row r="123" spans="1:15" s="423" customFormat="1" ht="32.25" customHeight="1" x14ac:dyDescent="0.25">
      <c r="A123" s="599"/>
      <c r="B123" s="516" t="s">
        <v>101</v>
      </c>
      <c r="C123" s="525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</row>
    <row r="124" spans="1:15" s="423" customFormat="1" ht="21.75" customHeight="1" x14ac:dyDescent="0.25">
      <c r="A124" s="599"/>
      <c r="B124" s="516" t="s">
        <v>59</v>
      </c>
      <c r="C124" s="525"/>
      <c r="D124" s="517">
        <v>2262.5</v>
      </c>
      <c r="E124" s="517">
        <v>2262.5</v>
      </c>
      <c r="F124" s="517">
        <v>500</v>
      </c>
      <c r="G124" s="517">
        <v>483</v>
      </c>
      <c r="H124" s="517">
        <v>743</v>
      </c>
      <c r="I124" s="517">
        <v>300</v>
      </c>
      <c r="J124" s="517">
        <v>0</v>
      </c>
      <c r="K124" s="517">
        <v>0</v>
      </c>
      <c r="L124" s="517">
        <v>1019.5</v>
      </c>
      <c r="M124" s="517">
        <v>679.5</v>
      </c>
      <c r="N124" s="528">
        <f>SUM(F124+H124+J124+L124)</f>
        <v>2262.5</v>
      </c>
      <c r="O124" s="528">
        <f>SUM(G124+I124+K124+M124)</f>
        <v>1462.5</v>
      </c>
    </row>
    <row r="125" spans="1:15" s="154" customFormat="1" ht="27.75" customHeight="1" x14ac:dyDescent="0.25">
      <c r="A125" s="599"/>
      <c r="B125" s="516" t="s">
        <v>125</v>
      </c>
      <c r="C125" s="525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</row>
    <row r="126" spans="1:15" s="154" customFormat="1" ht="26.25" customHeight="1" x14ac:dyDescent="0.25">
      <c r="A126" s="599"/>
      <c r="B126" s="516" t="s">
        <v>59</v>
      </c>
      <c r="C126" s="525"/>
      <c r="D126" s="517">
        <v>1287.7</v>
      </c>
      <c r="E126" s="517">
        <v>1287.7</v>
      </c>
      <c r="F126" s="517">
        <v>0</v>
      </c>
      <c r="G126" s="517">
        <v>0</v>
      </c>
      <c r="H126" s="517">
        <v>700</v>
      </c>
      <c r="I126" s="517">
        <v>315</v>
      </c>
      <c r="J126" s="517">
        <v>0</v>
      </c>
      <c r="K126" s="517">
        <v>346.4</v>
      </c>
      <c r="L126" s="517">
        <v>587.70000000000005</v>
      </c>
      <c r="M126" s="517">
        <v>626.26</v>
      </c>
      <c r="N126" s="528">
        <f>SUM(F126+H126+J126+L126)</f>
        <v>1287.7</v>
      </c>
      <c r="O126" s="528">
        <f>SUM(G126+I126+K126+M126)</f>
        <v>1287.6599999999999</v>
      </c>
    </row>
    <row r="127" spans="1:15" s="154" customFormat="1" ht="51.75" customHeight="1" x14ac:dyDescent="0.25">
      <c r="A127" s="599"/>
      <c r="B127" s="515" t="s">
        <v>102</v>
      </c>
      <c r="C127" s="525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</row>
    <row r="128" spans="1:15" s="154" customFormat="1" ht="21.75" customHeight="1" x14ac:dyDescent="0.25">
      <c r="A128" s="599"/>
      <c r="B128" s="516" t="s">
        <v>59</v>
      </c>
      <c r="C128" s="525"/>
      <c r="D128" s="517">
        <v>350</v>
      </c>
      <c r="E128" s="517">
        <v>350</v>
      </c>
      <c r="F128" s="517">
        <v>0</v>
      </c>
      <c r="G128" s="517">
        <v>0</v>
      </c>
      <c r="H128" s="517">
        <v>350</v>
      </c>
      <c r="I128" s="517">
        <v>5.5</v>
      </c>
      <c r="J128" s="517">
        <v>0</v>
      </c>
      <c r="K128" s="517">
        <v>55.9</v>
      </c>
      <c r="L128" s="517">
        <v>0</v>
      </c>
      <c r="M128" s="517">
        <v>288.60000000000002</v>
      </c>
      <c r="N128" s="528">
        <f>SUM(F128+H128+J128+L128)</f>
        <v>350</v>
      </c>
      <c r="O128" s="528">
        <f>SUM(G128+I128+K128+M128)</f>
        <v>350</v>
      </c>
    </row>
    <row r="129" spans="1:15" s="154" customFormat="1" ht="37.5" customHeight="1" x14ac:dyDescent="0.25">
      <c r="A129" s="599"/>
      <c r="B129" s="515" t="s">
        <v>103</v>
      </c>
      <c r="C129" s="525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</row>
    <row r="130" spans="1:15" s="154" customFormat="1" ht="30" customHeight="1" x14ac:dyDescent="0.25">
      <c r="A130" s="599"/>
      <c r="B130" s="516" t="s">
        <v>59</v>
      </c>
      <c r="C130" s="525"/>
      <c r="D130" s="517">
        <v>950</v>
      </c>
      <c r="E130" s="517">
        <v>950</v>
      </c>
      <c r="F130" s="517">
        <v>0</v>
      </c>
      <c r="G130" s="517">
        <v>0</v>
      </c>
      <c r="H130" s="517">
        <v>300</v>
      </c>
      <c r="I130" s="517">
        <v>249.5</v>
      </c>
      <c r="J130" s="517">
        <v>650</v>
      </c>
      <c r="K130" s="517">
        <v>697.7</v>
      </c>
      <c r="L130" s="517">
        <v>0</v>
      </c>
      <c r="M130" s="517">
        <v>0</v>
      </c>
      <c r="N130" s="528">
        <f>SUM(F130+H130+J130+L130)</f>
        <v>950</v>
      </c>
      <c r="O130" s="528">
        <f>SUM(G130+I130+K130+M130)</f>
        <v>947.2</v>
      </c>
    </row>
    <row r="131" spans="1:15" s="154" customFormat="1" ht="72.75" customHeight="1" x14ac:dyDescent="0.25">
      <c r="A131" s="599"/>
      <c r="B131" s="515" t="s">
        <v>104</v>
      </c>
      <c r="C131" s="525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29"/>
      <c r="O131" s="530"/>
    </row>
    <row r="132" spans="1:15" s="154" customFormat="1" ht="25.5" customHeight="1" x14ac:dyDescent="0.25">
      <c r="A132" s="599"/>
      <c r="B132" s="516" t="s">
        <v>59</v>
      </c>
      <c r="C132" s="525"/>
      <c r="D132" s="517">
        <v>378.5</v>
      </c>
      <c r="E132" s="517">
        <v>378.5</v>
      </c>
      <c r="F132" s="517">
        <v>0</v>
      </c>
      <c r="G132" s="517">
        <v>0</v>
      </c>
      <c r="H132" s="517">
        <v>150</v>
      </c>
      <c r="I132" s="517">
        <v>134.1</v>
      </c>
      <c r="J132" s="517">
        <v>228.5</v>
      </c>
      <c r="K132" s="517">
        <v>0</v>
      </c>
      <c r="L132" s="517">
        <v>0</v>
      </c>
      <c r="M132" s="517">
        <v>0</v>
      </c>
      <c r="N132" s="528">
        <f>SUM(F132+H132+J132+L132)</f>
        <v>378.5</v>
      </c>
      <c r="O132" s="528">
        <f>SUM(G132+I132+K132+M132)</f>
        <v>134.1</v>
      </c>
    </row>
    <row r="133" spans="1:15" s="154" customFormat="1" ht="46.5" customHeight="1" x14ac:dyDescent="0.25">
      <c r="A133" s="599"/>
      <c r="B133" s="515" t="s">
        <v>158</v>
      </c>
      <c r="C133" s="525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29"/>
      <c r="O133" s="530"/>
    </row>
    <row r="134" spans="1:15" s="154" customFormat="1" ht="23.25" customHeight="1" x14ac:dyDescent="0.25">
      <c r="A134" s="599"/>
      <c r="B134" s="516" t="s">
        <v>59</v>
      </c>
      <c r="C134" s="525"/>
      <c r="D134" s="517">
        <v>212.5</v>
      </c>
      <c r="E134" s="517">
        <v>212.5</v>
      </c>
      <c r="F134" s="517">
        <v>0</v>
      </c>
      <c r="G134" s="517">
        <v>0</v>
      </c>
      <c r="H134" s="517">
        <v>141</v>
      </c>
      <c r="I134" s="517">
        <v>0</v>
      </c>
      <c r="J134" s="517">
        <v>0</v>
      </c>
      <c r="K134" s="517">
        <v>0</v>
      </c>
      <c r="L134" s="517">
        <v>71.5</v>
      </c>
      <c r="M134" s="517">
        <v>212.46</v>
      </c>
      <c r="N134" s="528">
        <f>SUM(F134+H134+J134+L134)</f>
        <v>212.5</v>
      </c>
      <c r="O134" s="528">
        <f>SUM(G134+I134+K134+M134)</f>
        <v>212.46</v>
      </c>
    </row>
    <row r="135" spans="1:15" s="154" customFormat="1" ht="26.25" customHeight="1" x14ac:dyDescent="0.25">
      <c r="A135" s="599"/>
      <c r="B135" s="515" t="s">
        <v>159</v>
      </c>
      <c r="C135" s="525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</row>
    <row r="136" spans="1:15" s="154" customFormat="1" ht="21.75" customHeight="1" x14ac:dyDescent="0.25">
      <c r="A136" s="599"/>
      <c r="B136" s="516" t="s">
        <v>59</v>
      </c>
      <c r="C136" s="525"/>
      <c r="D136" s="517">
        <v>94.2</v>
      </c>
      <c r="E136" s="517">
        <v>94.2</v>
      </c>
      <c r="F136" s="517">
        <v>0</v>
      </c>
      <c r="G136" s="517">
        <v>0</v>
      </c>
      <c r="H136" s="517">
        <v>94.2</v>
      </c>
      <c r="I136" s="517">
        <v>94.2</v>
      </c>
      <c r="J136" s="517">
        <v>0</v>
      </c>
      <c r="K136" s="517">
        <v>0</v>
      </c>
      <c r="L136" s="517">
        <v>0</v>
      </c>
      <c r="M136" s="517">
        <v>0</v>
      </c>
      <c r="N136" s="528">
        <f>SUM(F136+H136+J136+L136)</f>
        <v>94.2</v>
      </c>
      <c r="O136" s="528">
        <f>SUM(G136+I136+K136+M136)</f>
        <v>94.2</v>
      </c>
    </row>
    <row r="137" spans="1:15" s="467" customFormat="1" ht="24" customHeight="1" x14ac:dyDescent="0.25">
      <c r="A137" s="599"/>
      <c r="B137" s="297" t="s">
        <v>198</v>
      </c>
      <c r="C137" s="525"/>
      <c r="D137" s="517"/>
      <c r="E137" s="517"/>
      <c r="F137" s="517"/>
      <c r="G137" s="517"/>
      <c r="H137" s="517"/>
      <c r="I137" s="517"/>
      <c r="J137" s="517"/>
      <c r="K137" s="517"/>
      <c r="L137" s="517"/>
      <c r="M137" s="547"/>
      <c r="N137" s="528"/>
      <c r="O137" s="528"/>
    </row>
    <row r="138" spans="1:15" s="467" customFormat="1" ht="24" customHeight="1" x14ac:dyDescent="0.25">
      <c r="A138" s="599"/>
      <c r="B138" s="545" t="s">
        <v>59</v>
      </c>
      <c r="C138" s="525"/>
      <c r="D138" s="517">
        <v>3000</v>
      </c>
      <c r="E138" s="517">
        <v>3000</v>
      </c>
      <c r="F138" s="517"/>
      <c r="G138" s="517"/>
      <c r="H138" s="517"/>
      <c r="I138" s="517"/>
      <c r="J138" s="517"/>
      <c r="K138" s="517"/>
      <c r="L138" s="517">
        <v>3000</v>
      </c>
      <c r="M138" s="547">
        <v>0</v>
      </c>
      <c r="N138" s="528">
        <f>SUM(F138+H138+J138+L138)</f>
        <v>3000</v>
      </c>
      <c r="O138" s="528">
        <f>SUM(G138+I138+K138+M138)</f>
        <v>0</v>
      </c>
    </row>
    <row r="139" spans="1:15" s="467" customFormat="1" ht="24" customHeight="1" x14ac:dyDescent="0.25">
      <c r="A139" s="599"/>
      <c r="B139" s="297" t="s">
        <v>199</v>
      </c>
      <c r="C139" s="525"/>
      <c r="D139" s="517"/>
      <c r="E139" s="517"/>
      <c r="F139" s="517"/>
      <c r="G139" s="517"/>
      <c r="H139" s="517"/>
      <c r="I139" s="517"/>
      <c r="J139" s="517"/>
      <c r="K139" s="517"/>
      <c r="L139" s="517"/>
      <c r="M139" s="547"/>
      <c r="N139" s="528"/>
      <c r="O139" s="528"/>
    </row>
    <row r="140" spans="1:15" s="467" customFormat="1" ht="24" customHeight="1" x14ac:dyDescent="0.25">
      <c r="A140" s="599"/>
      <c r="B140" s="545" t="s">
        <v>59</v>
      </c>
      <c r="C140" s="525"/>
      <c r="D140" s="517">
        <v>3700</v>
      </c>
      <c r="E140" s="517">
        <v>3700</v>
      </c>
      <c r="F140" s="517"/>
      <c r="G140" s="517"/>
      <c r="H140" s="517"/>
      <c r="I140" s="517"/>
      <c r="J140" s="517"/>
      <c r="K140" s="517"/>
      <c r="L140" s="517">
        <v>3700</v>
      </c>
      <c r="M140" s="547">
        <v>0</v>
      </c>
      <c r="N140" s="528">
        <f>SUM(F140+H140+J140+L140)</f>
        <v>3700</v>
      </c>
      <c r="O140" s="528">
        <f>SUM(G140+I140+K140+M140)</f>
        <v>0</v>
      </c>
    </row>
    <row r="141" spans="1:15" s="467" customFormat="1" ht="24" customHeight="1" x14ac:dyDescent="0.25">
      <c r="A141" s="599"/>
      <c r="B141" s="515" t="s">
        <v>160</v>
      </c>
      <c r="C141" s="525"/>
      <c r="D141" s="517"/>
      <c r="E141" s="517"/>
      <c r="F141" s="517"/>
      <c r="G141" s="517"/>
      <c r="H141" s="517"/>
      <c r="I141" s="517"/>
      <c r="J141" s="517"/>
      <c r="K141" s="517"/>
      <c r="L141" s="517"/>
      <c r="M141" s="547"/>
      <c r="N141" s="529"/>
      <c r="O141" s="530"/>
    </row>
    <row r="142" spans="1:15" s="467" customFormat="1" ht="24" customHeight="1" x14ac:dyDescent="0.25">
      <c r="A142" s="599"/>
      <c r="B142" s="516" t="s">
        <v>59</v>
      </c>
      <c r="C142" s="525"/>
      <c r="D142" s="517">
        <v>96.8</v>
      </c>
      <c r="E142" s="517">
        <v>96.8</v>
      </c>
      <c r="F142" s="517">
        <v>96.8</v>
      </c>
      <c r="G142" s="517">
        <v>58.75</v>
      </c>
      <c r="H142" s="517">
        <v>0</v>
      </c>
      <c r="I142" s="517">
        <v>38</v>
      </c>
      <c r="J142" s="517">
        <v>0</v>
      </c>
      <c r="K142" s="517">
        <v>0</v>
      </c>
      <c r="L142" s="517">
        <v>0</v>
      </c>
      <c r="M142" s="547">
        <v>0</v>
      </c>
      <c r="N142" s="528">
        <f>SUM(F142+H142+J142+L142)</f>
        <v>96.8</v>
      </c>
      <c r="O142" s="528">
        <f>SUM(G142+I142+K142+M142)</f>
        <v>96.75</v>
      </c>
    </row>
    <row r="143" spans="1:15" s="154" customFormat="1" ht="30.75" customHeight="1" x14ac:dyDescent="0.25">
      <c r="A143" s="599"/>
      <c r="B143" s="515" t="s">
        <v>105</v>
      </c>
      <c r="C143" s="525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</row>
    <row r="144" spans="1:15" s="154" customFormat="1" ht="25.5" customHeight="1" x14ac:dyDescent="0.25">
      <c r="A144" s="599"/>
      <c r="B144" s="516" t="s">
        <v>59</v>
      </c>
      <c r="C144" s="525"/>
      <c r="D144" s="517">
        <v>285.5</v>
      </c>
      <c r="E144" s="517">
        <v>285.5</v>
      </c>
      <c r="F144" s="517">
        <v>0</v>
      </c>
      <c r="G144" s="517">
        <v>0</v>
      </c>
      <c r="H144" s="517">
        <v>285.5</v>
      </c>
      <c r="I144" s="517">
        <v>285.42</v>
      </c>
      <c r="J144" s="517">
        <v>0</v>
      </c>
      <c r="K144" s="517">
        <v>0</v>
      </c>
      <c r="L144" s="517">
        <v>0</v>
      </c>
      <c r="M144" s="547">
        <v>0</v>
      </c>
      <c r="N144" s="528">
        <f>SUM(F144+H144+J144+L144)</f>
        <v>285.5</v>
      </c>
      <c r="O144" s="528">
        <f>SUM(G144+I144+K144+M144)</f>
        <v>285.42</v>
      </c>
    </row>
    <row r="145" spans="1:15" s="1" customFormat="1" ht="40.5" customHeight="1" x14ac:dyDescent="0.2">
      <c r="A145" s="92" t="s">
        <v>12</v>
      </c>
      <c r="B145" s="34"/>
      <c r="C145" s="34"/>
      <c r="D145" s="6">
        <f t="shared" ref="D145:O145" si="33">SUM(D144+D136+D134+D132+D130+D128+D126+D124+D122+D120+D118+D116+D114+D110+D108+D106+D104+D102+D98+D96+D94+D92+D90+D88+D86+D142+D112+D138+D140+D100)</f>
        <v>55881.599999999999</v>
      </c>
      <c r="E145" s="506">
        <f t="shared" si="33"/>
        <v>55881.599999999999</v>
      </c>
      <c r="F145" s="506">
        <f t="shared" si="33"/>
        <v>7513.5999999999995</v>
      </c>
      <c r="G145" s="506">
        <f t="shared" si="33"/>
        <v>3917.45</v>
      </c>
      <c r="H145" s="506">
        <f t="shared" si="33"/>
        <v>15239.45</v>
      </c>
      <c r="I145" s="506">
        <f t="shared" si="33"/>
        <v>13318.93</v>
      </c>
      <c r="J145" s="506">
        <f t="shared" si="33"/>
        <v>8511.5</v>
      </c>
      <c r="K145" s="506">
        <f t="shared" si="33"/>
        <v>5681.53</v>
      </c>
      <c r="L145" s="506">
        <f t="shared" si="33"/>
        <v>24617.05</v>
      </c>
      <c r="M145" s="506">
        <f t="shared" si="33"/>
        <v>19874.580000000002</v>
      </c>
      <c r="N145" s="506">
        <f t="shared" si="33"/>
        <v>55881.599999999999</v>
      </c>
      <c r="O145" s="506">
        <f t="shared" si="33"/>
        <v>42792.49</v>
      </c>
    </row>
    <row r="146" spans="1:15" s="1" customFormat="1" ht="24" customHeight="1" x14ac:dyDescent="0.2">
      <c r="A146" s="95"/>
      <c r="B146" s="20" t="s">
        <v>58</v>
      </c>
      <c r="C146" s="2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s="1" customFormat="1" ht="32.25" customHeight="1" x14ac:dyDescent="0.2">
      <c r="A147" s="95"/>
      <c r="B147" s="20" t="s">
        <v>59</v>
      </c>
      <c r="C147" s="20"/>
      <c r="D147" s="6">
        <f t="shared" ref="D147:O147" si="34">SUM(D145)</f>
        <v>55881.599999999999</v>
      </c>
      <c r="E147" s="464">
        <f t="shared" si="34"/>
        <v>55881.599999999999</v>
      </c>
      <c r="F147" s="464">
        <f t="shared" si="34"/>
        <v>7513.5999999999995</v>
      </c>
      <c r="G147" s="464">
        <f t="shared" si="34"/>
        <v>3917.45</v>
      </c>
      <c r="H147" s="464">
        <f t="shared" si="34"/>
        <v>15239.45</v>
      </c>
      <c r="I147" s="464">
        <f t="shared" si="34"/>
        <v>13318.93</v>
      </c>
      <c r="J147" s="464">
        <f t="shared" si="34"/>
        <v>8511.5</v>
      </c>
      <c r="K147" s="464">
        <f t="shared" si="34"/>
        <v>5681.53</v>
      </c>
      <c r="L147" s="464">
        <f t="shared" si="34"/>
        <v>24617.05</v>
      </c>
      <c r="M147" s="464">
        <f t="shared" si="34"/>
        <v>19874.580000000002</v>
      </c>
      <c r="N147" s="464">
        <f t="shared" si="34"/>
        <v>55881.599999999999</v>
      </c>
      <c r="O147" s="464">
        <f t="shared" si="34"/>
        <v>42792.49</v>
      </c>
    </row>
    <row r="148" spans="1:15" s="1" customFormat="1" ht="32.25" customHeight="1" x14ac:dyDescent="0.2">
      <c r="A148" s="93"/>
      <c r="B148" s="78" t="s">
        <v>60</v>
      </c>
      <c r="C148" s="26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s="427" customFormat="1" ht="42.75" customHeight="1" x14ac:dyDescent="0.2">
      <c r="A149" s="579" t="s">
        <v>106</v>
      </c>
      <c r="B149" s="428" t="s">
        <v>200</v>
      </c>
      <c r="C149" s="625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61"/>
      <c r="O149" s="461"/>
    </row>
    <row r="150" spans="1:15" s="427" customFormat="1" ht="21.75" customHeight="1" x14ac:dyDescent="0.25">
      <c r="A150" s="599"/>
      <c r="B150" s="430" t="s">
        <v>59</v>
      </c>
      <c r="C150" s="626"/>
      <c r="D150" s="429">
        <v>43375.75</v>
      </c>
      <c r="E150" s="429">
        <v>43375.75</v>
      </c>
      <c r="F150" s="429">
        <v>500</v>
      </c>
      <c r="G150" s="429">
        <v>475</v>
      </c>
      <c r="H150" s="429">
        <v>1500</v>
      </c>
      <c r="I150" s="429">
        <v>0</v>
      </c>
      <c r="J150" s="429">
        <v>0</v>
      </c>
      <c r="K150" s="429">
        <v>3895.1</v>
      </c>
      <c r="L150" s="429">
        <v>41375.75</v>
      </c>
      <c r="M150" s="429">
        <v>1713.17</v>
      </c>
      <c r="N150" s="289">
        <v>43375.75</v>
      </c>
      <c r="O150" s="290">
        <f>SUM(G150+I150+K150+M150)</f>
        <v>6083.27</v>
      </c>
    </row>
    <row r="151" spans="1:15" s="1" customFormat="1" ht="75" customHeight="1" x14ac:dyDescent="0.2">
      <c r="A151" s="599"/>
      <c r="B151" s="428" t="s">
        <v>201</v>
      </c>
      <c r="C151" s="626"/>
      <c r="D151" s="429"/>
      <c r="E151" s="429"/>
      <c r="F151" s="429"/>
      <c r="G151" s="429"/>
      <c r="H151" s="429"/>
      <c r="I151" s="429"/>
      <c r="J151" s="429"/>
      <c r="K151" s="429"/>
      <c r="L151" s="429"/>
      <c r="M151" s="429"/>
      <c r="N151" s="461"/>
      <c r="O151" s="461"/>
    </row>
    <row r="152" spans="1:15" s="1" customFormat="1" ht="32.25" customHeight="1" thickBot="1" x14ac:dyDescent="0.3">
      <c r="A152" s="600"/>
      <c r="B152" s="430" t="s">
        <v>59</v>
      </c>
      <c r="C152" s="627"/>
      <c r="D152" s="431">
        <v>569.6</v>
      </c>
      <c r="E152" s="431">
        <v>569.6</v>
      </c>
      <c r="F152" s="429">
        <v>0</v>
      </c>
      <c r="G152" s="429">
        <v>0</v>
      </c>
      <c r="H152" s="429">
        <v>0</v>
      </c>
      <c r="I152" s="429">
        <v>0</v>
      </c>
      <c r="J152" s="431"/>
      <c r="K152" s="429">
        <v>0</v>
      </c>
      <c r="L152" s="429">
        <v>569.6</v>
      </c>
      <c r="M152" s="429">
        <v>569.6</v>
      </c>
      <c r="N152" s="429">
        <v>569.6</v>
      </c>
      <c r="O152" s="290">
        <f>SUM(G152+I152+K152+M152)</f>
        <v>569.6</v>
      </c>
    </row>
    <row r="153" spans="1:15" s="1" customFormat="1" ht="32.25" customHeight="1" x14ac:dyDescent="0.2">
      <c r="A153" s="284" t="s">
        <v>12</v>
      </c>
      <c r="B153" s="292"/>
      <c r="C153" s="293"/>
      <c r="D153" s="432">
        <f t="shared" ref="D153:L153" si="35">SUM(D150+D152)</f>
        <v>43945.35</v>
      </c>
      <c r="E153" s="432">
        <f t="shared" si="35"/>
        <v>43945.35</v>
      </c>
      <c r="F153" s="432">
        <f t="shared" si="35"/>
        <v>500</v>
      </c>
      <c r="G153" s="432">
        <f t="shared" si="35"/>
        <v>475</v>
      </c>
      <c r="H153" s="432">
        <f t="shared" si="35"/>
        <v>1500</v>
      </c>
      <c r="I153" s="432">
        <f t="shared" si="35"/>
        <v>0</v>
      </c>
      <c r="J153" s="432">
        <f t="shared" si="35"/>
        <v>0</v>
      </c>
      <c r="K153" s="432">
        <f t="shared" si="35"/>
        <v>3895.1</v>
      </c>
      <c r="L153" s="432">
        <f t="shared" si="35"/>
        <v>41945.35</v>
      </c>
      <c r="M153" s="432">
        <v>0</v>
      </c>
      <c r="N153" s="432">
        <f>SUM(N150+N152)</f>
        <v>43945.35</v>
      </c>
      <c r="O153" s="432">
        <f>SUM(O150+O152)</f>
        <v>6652.8700000000008</v>
      </c>
    </row>
    <row r="154" spans="1:15" s="1" customFormat="1" ht="21.75" customHeight="1" x14ac:dyDescent="0.2">
      <c r="A154" s="285"/>
      <c r="B154" s="294" t="s">
        <v>58</v>
      </c>
      <c r="C154" s="293"/>
      <c r="D154" s="432"/>
      <c r="E154" s="432"/>
      <c r="F154" s="432"/>
      <c r="G154" s="432"/>
      <c r="H154" s="432"/>
      <c r="I154" s="432"/>
      <c r="J154" s="432"/>
      <c r="K154" s="432"/>
      <c r="L154" s="432"/>
      <c r="M154" s="432"/>
      <c r="N154" s="432"/>
      <c r="O154" s="432"/>
    </row>
    <row r="155" spans="1:15" s="1" customFormat="1" ht="32.25" customHeight="1" x14ac:dyDescent="0.2">
      <c r="A155" s="285"/>
      <c r="B155" s="295" t="s">
        <v>59</v>
      </c>
      <c r="C155" s="293"/>
      <c r="D155" s="432">
        <f>SUM(D150+D152)</f>
        <v>43945.35</v>
      </c>
      <c r="E155" s="432">
        <f>SUM(E150+E152)</f>
        <v>43945.35</v>
      </c>
      <c r="F155" s="432">
        <f>SUM(F150+F152)</f>
        <v>500</v>
      </c>
      <c r="G155" s="432">
        <f>SUM(G150+G152)</f>
        <v>475</v>
      </c>
      <c r="H155" s="432">
        <f>SUM(H150+H152)</f>
        <v>1500</v>
      </c>
      <c r="I155" s="432">
        <v>0</v>
      </c>
      <c r="J155" s="432">
        <f>SUM(J150+J152)</f>
        <v>0</v>
      </c>
      <c r="K155" s="432">
        <f>SUM(K150+K152)</f>
        <v>3895.1</v>
      </c>
      <c r="L155" s="432">
        <f>SUM(L150+L152)</f>
        <v>41945.35</v>
      </c>
      <c r="M155" s="432">
        <v>0</v>
      </c>
      <c r="N155" s="432">
        <f>SUM(N150+N152)</f>
        <v>43945.35</v>
      </c>
      <c r="O155" s="432">
        <f>SUM(O150+O152)</f>
        <v>6652.8700000000008</v>
      </c>
    </row>
    <row r="156" spans="1:15" s="1" customFormat="1" ht="32.25" customHeight="1" x14ac:dyDescent="0.2">
      <c r="A156" s="285"/>
      <c r="B156" s="296" t="s">
        <v>60</v>
      </c>
      <c r="C156" s="29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s="1" customFormat="1" ht="87" customHeight="1" x14ac:dyDescent="0.2">
      <c r="A157" s="317" t="s">
        <v>73</v>
      </c>
      <c r="B157" s="55"/>
      <c r="C157" s="55"/>
      <c r="D157" s="12">
        <v>125252.7</v>
      </c>
      <c r="E157" s="466">
        <v>125252.7</v>
      </c>
      <c r="F157" s="12">
        <v>15972.1</v>
      </c>
      <c r="G157" s="12">
        <v>15972.1</v>
      </c>
      <c r="H157" s="12">
        <v>18864.2</v>
      </c>
      <c r="I157" s="12">
        <v>18910.169999999998</v>
      </c>
      <c r="J157" s="12">
        <v>54660.1</v>
      </c>
      <c r="K157" s="12">
        <v>36326.9</v>
      </c>
      <c r="L157" s="12">
        <v>35756.300000000003</v>
      </c>
      <c r="M157" s="291">
        <v>28298.5</v>
      </c>
      <c r="N157" s="6">
        <f>SUM(F157+H157+J157+L157)</f>
        <v>125252.7</v>
      </c>
      <c r="O157" s="500">
        <f>SUM(G157+I157+K157+M157)</f>
        <v>99507.67</v>
      </c>
    </row>
    <row r="158" spans="1:15" s="1" customFormat="1" ht="29.25" customHeight="1" x14ac:dyDescent="0.2">
      <c r="A158" s="52" t="s">
        <v>2</v>
      </c>
      <c r="B158" s="37"/>
      <c r="C158" s="268"/>
      <c r="D158" s="27">
        <f t="shared" ref="D158:O158" si="36">SUM(D157+D145+D81+D67+D153)</f>
        <v>231748.15</v>
      </c>
      <c r="E158" s="27">
        <f t="shared" si="36"/>
        <v>231748.15</v>
      </c>
      <c r="F158" s="27">
        <f t="shared" si="36"/>
        <v>28369.7</v>
      </c>
      <c r="G158" s="27">
        <f t="shared" si="36"/>
        <v>24379.25</v>
      </c>
      <c r="H158" s="27">
        <f t="shared" si="36"/>
        <v>36733.65</v>
      </c>
      <c r="I158" s="27">
        <f t="shared" si="36"/>
        <v>32412.309999999998</v>
      </c>
      <c r="J158" s="27">
        <f t="shared" si="36"/>
        <v>63721.599999999999</v>
      </c>
      <c r="K158" s="27">
        <f t="shared" si="36"/>
        <v>45914.15</v>
      </c>
      <c r="L158" s="27">
        <f t="shared" si="36"/>
        <v>102923.20000000001</v>
      </c>
      <c r="M158" s="27">
        <f t="shared" si="36"/>
        <v>50395.360000000001</v>
      </c>
      <c r="N158" s="27">
        <f t="shared" si="36"/>
        <v>231748.15</v>
      </c>
      <c r="O158" s="27">
        <f t="shared" si="36"/>
        <v>155383.84</v>
      </c>
    </row>
    <row r="159" spans="1:15" s="1" customFormat="1" ht="33" customHeight="1" x14ac:dyDescent="0.2">
      <c r="A159" s="53"/>
      <c r="B159" s="39" t="s">
        <v>58</v>
      </c>
      <c r="C159" s="39"/>
      <c r="D159" s="31"/>
      <c r="E159" s="31"/>
      <c r="F159" s="31"/>
      <c r="G159" s="31"/>
      <c r="H159" s="31"/>
      <c r="I159" s="31"/>
      <c r="J159" s="31"/>
      <c r="K159" s="31"/>
      <c r="L159" s="31"/>
      <c r="M159" s="121"/>
      <c r="N159" s="31"/>
      <c r="O159" s="63"/>
    </row>
    <row r="160" spans="1:15" s="1" customFormat="1" ht="26.25" customHeight="1" x14ac:dyDescent="0.2">
      <c r="A160" s="53"/>
      <c r="B160" s="39" t="s">
        <v>59</v>
      </c>
      <c r="C160" s="39"/>
      <c r="D160" s="31">
        <f t="shared" ref="D160:O160" si="37">SUM(D157+D147+D83+D69+D155)</f>
        <v>229754.44999999998</v>
      </c>
      <c r="E160" s="31">
        <f t="shared" si="37"/>
        <v>229754.44999999998</v>
      </c>
      <c r="F160" s="31">
        <f t="shared" si="37"/>
        <v>26376</v>
      </c>
      <c r="G160" s="31">
        <f t="shared" si="37"/>
        <v>22385.65</v>
      </c>
      <c r="H160" s="31">
        <f t="shared" si="37"/>
        <v>36733.65</v>
      </c>
      <c r="I160" s="31">
        <f t="shared" si="37"/>
        <v>32412.309999999998</v>
      </c>
      <c r="J160" s="31">
        <f t="shared" si="37"/>
        <v>63721.599999999999</v>
      </c>
      <c r="K160" s="31">
        <f t="shared" si="37"/>
        <v>45914.15</v>
      </c>
      <c r="L160" s="31">
        <f t="shared" si="37"/>
        <v>102923.20000000001</v>
      </c>
      <c r="M160" s="31">
        <f t="shared" si="37"/>
        <v>50395.360000000001</v>
      </c>
      <c r="N160" s="31">
        <f t="shared" si="37"/>
        <v>229754.44999999998</v>
      </c>
      <c r="O160" s="31">
        <f t="shared" si="37"/>
        <v>153390.24000000002</v>
      </c>
    </row>
    <row r="161" spans="1:15" s="1" customFormat="1" ht="37.5" customHeight="1" thickBot="1" x14ac:dyDescent="0.25">
      <c r="A161" s="53"/>
      <c r="B161" s="40" t="s">
        <v>60</v>
      </c>
      <c r="C161" s="270"/>
      <c r="D161" s="54">
        <f>SUM(D148+D70)</f>
        <v>1993.7</v>
      </c>
      <c r="E161" s="54">
        <f>SUM(E148+E70)</f>
        <v>1993.7</v>
      </c>
      <c r="F161" s="54">
        <f>SUM(F148+F70)</f>
        <v>1993.7</v>
      </c>
      <c r="G161" s="54">
        <f>SUM(G148)</f>
        <v>0</v>
      </c>
      <c r="H161" s="54">
        <f>SUM(H148)</f>
        <v>0</v>
      </c>
      <c r="I161" s="54">
        <f>SUM(I148)</f>
        <v>0</v>
      </c>
      <c r="J161" s="54">
        <f>SUM(J148+J70)</f>
        <v>0</v>
      </c>
      <c r="K161" s="54">
        <f>SUM(K148)</f>
        <v>0</v>
      </c>
      <c r="L161" s="54">
        <f>SUM(L148+L70)</f>
        <v>0</v>
      </c>
      <c r="M161" s="125">
        <f>SUM(M148+M70)</f>
        <v>0</v>
      </c>
      <c r="N161" s="54">
        <f>SUM(F161+H161+J161+L161)</f>
        <v>1993.7</v>
      </c>
      <c r="O161" s="54">
        <f>SUM(O148+O70)</f>
        <v>1993.6</v>
      </c>
    </row>
    <row r="162" spans="1:15" s="1" customFormat="1" ht="37.5" customHeight="1" x14ac:dyDescent="0.25">
      <c r="A162" s="603" t="s">
        <v>21</v>
      </c>
      <c r="B162" s="604"/>
      <c r="C162" s="604"/>
      <c r="D162" s="604"/>
      <c r="E162" s="604"/>
      <c r="F162" s="604"/>
      <c r="G162" s="604"/>
      <c r="H162" s="604"/>
      <c r="I162" s="604"/>
      <c r="J162" s="604"/>
      <c r="K162" s="604"/>
      <c r="L162" s="604"/>
      <c r="M162" s="604"/>
      <c r="N162" s="605"/>
      <c r="O162" s="606"/>
    </row>
    <row r="163" spans="1:15" s="1" customFormat="1" ht="70.5" customHeight="1" x14ac:dyDescent="0.2">
      <c r="A163" s="570" t="s">
        <v>135</v>
      </c>
      <c r="B163" s="24" t="s">
        <v>136</v>
      </c>
      <c r="C163" s="446"/>
      <c r="D163" s="447">
        <v>86</v>
      </c>
      <c r="E163" s="447">
        <v>86</v>
      </c>
      <c r="F163" s="448"/>
      <c r="G163" s="448"/>
      <c r="H163" s="448"/>
      <c r="I163" s="448"/>
      <c r="J163" s="448"/>
      <c r="K163" s="448"/>
      <c r="L163" s="447">
        <v>86</v>
      </c>
      <c r="M163" s="446"/>
      <c r="N163" s="449">
        <f>SUM(F163+H163+J163+L163)</f>
        <v>86</v>
      </c>
      <c r="O163" s="422">
        <f>SUM(G163+I163+K163+M163)</f>
        <v>0</v>
      </c>
    </row>
    <row r="164" spans="1:15" s="1" customFormat="1" ht="24" customHeight="1" x14ac:dyDescent="0.25">
      <c r="A164" s="571"/>
      <c r="B164" s="450" t="s">
        <v>58</v>
      </c>
      <c r="C164" s="446"/>
      <c r="D164" s="448"/>
      <c r="E164" s="448"/>
      <c r="F164" s="448"/>
      <c r="G164" s="448"/>
      <c r="H164" s="448"/>
      <c r="I164" s="448"/>
      <c r="J164" s="448"/>
      <c r="K164" s="448"/>
      <c r="L164" s="448"/>
      <c r="M164" s="446"/>
      <c r="N164" s="451"/>
      <c r="O164" s="451"/>
    </row>
    <row r="165" spans="1:15" s="1" customFormat="1" ht="25.5" customHeight="1" x14ac:dyDescent="0.25">
      <c r="A165" s="571"/>
      <c r="B165" s="450" t="s">
        <v>59</v>
      </c>
      <c r="C165" s="452"/>
      <c r="D165" s="447">
        <v>86</v>
      </c>
      <c r="E165" s="447">
        <v>86</v>
      </c>
      <c r="F165" s="448"/>
      <c r="G165" s="448"/>
      <c r="H165" s="448"/>
      <c r="I165" s="448"/>
      <c r="J165" s="448"/>
      <c r="K165" s="448"/>
      <c r="L165" s="447">
        <v>86</v>
      </c>
      <c r="M165" s="446"/>
      <c r="N165" s="449">
        <f>SUM(F165+H165+J165+L165)</f>
        <v>86</v>
      </c>
      <c r="O165" s="422">
        <f>SUM(G165+I165+K165+M165)</f>
        <v>0</v>
      </c>
    </row>
    <row r="166" spans="1:15" ht="39" customHeight="1" x14ac:dyDescent="0.25">
      <c r="A166" s="572"/>
      <c r="B166" s="453" t="s">
        <v>60</v>
      </c>
      <c r="C166" s="452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51"/>
      <c r="O166" s="451"/>
    </row>
    <row r="167" spans="1:15" ht="168.75" customHeight="1" x14ac:dyDescent="0.2">
      <c r="A167" s="616" t="s">
        <v>114</v>
      </c>
      <c r="B167" s="424" t="s">
        <v>107</v>
      </c>
      <c r="C167" s="417" t="s">
        <v>122</v>
      </c>
      <c r="D167" s="415">
        <v>10891.8</v>
      </c>
      <c r="E167" s="508">
        <v>10891.8</v>
      </c>
      <c r="F167" s="415">
        <v>0</v>
      </c>
      <c r="G167" s="415">
        <v>0</v>
      </c>
      <c r="H167" s="508">
        <v>10891.8</v>
      </c>
      <c r="I167" s="415">
        <v>0</v>
      </c>
      <c r="J167" s="415">
        <v>0</v>
      </c>
      <c r="K167" s="415">
        <f>SUM(K169+K170)</f>
        <v>10891.7</v>
      </c>
      <c r="L167" s="415">
        <v>0</v>
      </c>
      <c r="M167" s="415">
        <v>0</v>
      </c>
      <c r="N167" s="415">
        <f>SUM(F167+H167+J167+L167)</f>
        <v>10891.8</v>
      </c>
      <c r="O167" s="415">
        <f>SUM(G167+I167+K167+M167)</f>
        <v>10891.7</v>
      </c>
    </row>
    <row r="168" spans="1:15" ht="18" customHeight="1" x14ac:dyDescent="0.25">
      <c r="A168" s="617"/>
      <c r="B168" s="420" t="s">
        <v>58</v>
      </c>
      <c r="C168" s="418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</row>
    <row r="169" spans="1:15" ht="18" customHeight="1" x14ac:dyDescent="0.25">
      <c r="A169" s="617"/>
      <c r="B169" s="420" t="s">
        <v>59</v>
      </c>
      <c r="C169" s="418"/>
      <c r="D169" s="415">
        <v>544.6</v>
      </c>
      <c r="E169" s="508">
        <v>544.6</v>
      </c>
      <c r="F169" s="415"/>
      <c r="G169" s="415"/>
      <c r="H169" s="508">
        <v>544.6</v>
      </c>
      <c r="I169" s="415"/>
      <c r="J169" s="415"/>
      <c r="K169" s="415">
        <v>544.6</v>
      </c>
      <c r="L169" s="415"/>
      <c r="M169" s="415"/>
      <c r="N169" s="415">
        <f>SUM(F169+H169+J169+L169)</f>
        <v>544.6</v>
      </c>
      <c r="O169" s="415">
        <f>SUM(G169+I169+K169+M169)</f>
        <v>544.6</v>
      </c>
    </row>
    <row r="170" spans="1:15" ht="33.75" customHeight="1" x14ac:dyDescent="0.25">
      <c r="A170" s="617"/>
      <c r="B170" s="419" t="s">
        <v>60</v>
      </c>
      <c r="C170" s="418"/>
      <c r="D170" s="415">
        <v>10347.200000000001</v>
      </c>
      <c r="E170" s="508">
        <v>10347.200000000001</v>
      </c>
      <c r="F170" s="415"/>
      <c r="G170" s="415"/>
      <c r="H170" s="508">
        <v>10347.200000000001</v>
      </c>
      <c r="I170" s="415"/>
      <c r="J170" s="415"/>
      <c r="K170" s="415">
        <v>10347.1</v>
      </c>
      <c r="L170" s="415"/>
      <c r="M170" s="415"/>
      <c r="N170" s="415">
        <f>SUM(F170+H170+J170+L170)</f>
        <v>10347.200000000001</v>
      </c>
      <c r="O170" s="415">
        <f>SUM(G170+I170+K170+M170)</f>
        <v>10347.1</v>
      </c>
    </row>
    <row r="171" spans="1:15" ht="27" customHeight="1" x14ac:dyDescent="0.25">
      <c r="A171" s="617"/>
      <c r="B171" s="298" t="s">
        <v>108</v>
      </c>
      <c r="C171" s="418"/>
      <c r="D171" s="415"/>
      <c r="E171" s="415"/>
      <c r="F171" s="415"/>
      <c r="G171" s="415"/>
      <c r="H171" s="415"/>
      <c r="I171" s="415"/>
      <c r="J171" s="415"/>
      <c r="K171" s="415"/>
      <c r="L171" s="415"/>
      <c r="M171" s="415"/>
      <c r="N171" s="415"/>
      <c r="O171" s="415"/>
    </row>
    <row r="172" spans="1:15" ht="18" customHeight="1" x14ac:dyDescent="0.25">
      <c r="A172" s="617"/>
      <c r="B172" s="420" t="s">
        <v>59</v>
      </c>
      <c r="C172" s="418"/>
      <c r="D172" s="415">
        <v>13018.83</v>
      </c>
      <c r="E172" s="508">
        <v>13018.83</v>
      </c>
      <c r="F172" s="415">
        <v>0</v>
      </c>
      <c r="G172" s="415">
        <v>0</v>
      </c>
      <c r="H172" s="415">
        <v>9200</v>
      </c>
      <c r="I172" s="415">
        <v>0</v>
      </c>
      <c r="J172" s="415">
        <v>3564.7</v>
      </c>
      <c r="K172" s="415">
        <v>12764.7</v>
      </c>
      <c r="L172" s="415">
        <v>254.13</v>
      </c>
      <c r="M172" s="415">
        <v>0</v>
      </c>
      <c r="N172" s="415">
        <f>SUM(F172+H172+J172+L172)</f>
        <v>13018.83</v>
      </c>
      <c r="O172" s="415">
        <f>SUM(G172+I172+K172+M172)</f>
        <v>12764.7</v>
      </c>
    </row>
    <row r="173" spans="1:15" ht="18" customHeight="1" x14ac:dyDescent="0.25">
      <c r="A173" s="617"/>
      <c r="B173" s="298" t="s">
        <v>45</v>
      </c>
      <c r="C173" s="418"/>
      <c r="D173" s="415"/>
      <c r="E173" s="415"/>
      <c r="F173" s="415"/>
      <c r="G173" s="415"/>
      <c r="H173" s="415"/>
      <c r="I173" s="415"/>
      <c r="J173" s="415"/>
      <c r="K173" s="415"/>
      <c r="L173" s="415"/>
      <c r="M173" s="415"/>
      <c r="N173" s="415"/>
      <c r="O173" s="415"/>
    </row>
    <row r="174" spans="1:15" ht="18" customHeight="1" x14ac:dyDescent="0.25">
      <c r="A174" s="617"/>
      <c r="B174" s="420" t="s">
        <v>59</v>
      </c>
      <c r="C174" s="418"/>
      <c r="D174" s="415">
        <v>1042.7</v>
      </c>
      <c r="E174" s="508">
        <v>1042.7</v>
      </c>
      <c r="F174" s="415">
        <v>394.6</v>
      </c>
      <c r="G174" s="415">
        <v>394.5</v>
      </c>
      <c r="H174" s="415">
        <v>648.1</v>
      </c>
      <c r="I174" s="415">
        <v>648.1</v>
      </c>
      <c r="J174" s="415">
        <v>0</v>
      </c>
      <c r="K174" s="415">
        <v>0</v>
      </c>
      <c r="L174" s="415"/>
      <c r="M174" s="415">
        <v>0</v>
      </c>
      <c r="N174" s="415">
        <f>SUM(F174+H174+J174+L174)</f>
        <v>1042.7</v>
      </c>
      <c r="O174" s="415">
        <f>SUM(G174+I174+K174+M174)</f>
        <v>1042.5999999999999</v>
      </c>
    </row>
    <row r="175" spans="1:15" ht="57" customHeight="1" x14ac:dyDescent="0.25">
      <c r="A175" s="617"/>
      <c r="B175" s="468" t="s">
        <v>175</v>
      </c>
      <c r="C175" s="418"/>
      <c r="D175" s="415"/>
      <c r="E175" s="415"/>
      <c r="F175" s="415"/>
      <c r="G175" s="415"/>
      <c r="H175" s="415"/>
      <c r="I175" s="415"/>
      <c r="J175" s="415"/>
      <c r="K175" s="415"/>
      <c r="L175" s="415"/>
      <c r="M175" s="415"/>
      <c r="N175" s="415"/>
      <c r="O175" s="415"/>
    </row>
    <row r="176" spans="1:15" ht="18" customHeight="1" x14ac:dyDescent="0.25">
      <c r="A176" s="617"/>
      <c r="B176" s="420" t="s">
        <v>59</v>
      </c>
      <c r="C176" s="418"/>
      <c r="D176" s="414"/>
      <c r="E176" s="507"/>
      <c r="F176" s="414"/>
      <c r="G176" s="414"/>
      <c r="H176" s="507"/>
      <c r="I176" s="414"/>
      <c r="J176" s="414"/>
      <c r="K176" s="507"/>
      <c r="L176" s="414"/>
      <c r="M176" s="414"/>
      <c r="N176" s="415">
        <f>SUM(F176+H176+J176+L176)</f>
        <v>0</v>
      </c>
      <c r="O176" s="415">
        <f>SUM(G176+I176+K176+M176)</f>
        <v>0</v>
      </c>
    </row>
    <row r="177" spans="1:15" ht="18" customHeight="1" x14ac:dyDescent="0.25">
      <c r="A177" s="617"/>
      <c r="B177" s="425" t="s">
        <v>109</v>
      </c>
      <c r="C177" s="418"/>
      <c r="D177" s="415"/>
      <c r="E177" s="415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</row>
    <row r="178" spans="1:15" ht="18" customHeight="1" x14ac:dyDescent="0.25">
      <c r="A178" s="617"/>
      <c r="B178" s="420" t="s">
        <v>59</v>
      </c>
      <c r="C178" s="418"/>
      <c r="D178" s="414">
        <v>452.5</v>
      </c>
      <c r="E178" s="414">
        <v>452.5</v>
      </c>
      <c r="F178" s="414">
        <v>0</v>
      </c>
      <c r="G178" s="414">
        <v>0</v>
      </c>
      <c r="H178" s="414">
        <v>452.5</v>
      </c>
      <c r="I178" s="414">
        <v>0</v>
      </c>
      <c r="J178" s="414">
        <v>0</v>
      </c>
      <c r="K178" s="414">
        <v>452.5</v>
      </c>
      <c r="L178" s="414">
        <v>0</v>
      </c>
      <c r="M178" s="414">
        <v>0</v>
      </c>
      <c r="N178" s="415">
        <f>SUM(F178+H178+J178+L178)</f>
        <v>452.5</v>
      </c>
      <c r="O178" s="415">
        <f>SUM(G178+I178+K178+M178)</f>
        <v>452.5</v>
      </c>
    </row>
    <row r="179" spans="1:15" ht="34.5" customHeight="1" x14ac:dyDescent="0.25">
      <c r="A179" s="617"/>
      <c r="B179" s="425" t="s">
        <v>126</v>
      </c>
      <c r="C179" s="418"/>
      <c r="D179" s="415"/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</row>
    <row r="180" spans="1:15" ht="25.5" customHeight="1" x14ac:dyDescent="0.25">
      <c r="A180" s="617"/>
      <c r="B180" s="420" t="s">
        <v>59</v>
      </c>
      <c r="C180" s="418"/>
      <c r="D180" s="414">
        <v>2333.1999999999998</v>
      </c>
      <c r="E180" s="414">
        <v>2333.1999999999998</v>
      </c>
      <c r="F180" s="414">
        <v>1400</v>
      </c>
      <c r="G180" s="414">
        <v>450.6</v>
      </c>
      <c r="H180" s="414">
        <v>933.2</v>
      </c>
      <c r="I180" s="414">
        <v>891.01</v>
      </c>
      <c r="J180" s="414">
        <v>0</v>
      </c>
      <c r="K180" s="414">
        <v>991.6</v>
      </c>
      <c r="L180" s="414">
        <v>0</v>
      </c>
      <c r="M180" s="414">
        <v>0</v>
      </c>
      <c r="N180" s="415">
        <f>SUM(F180+H180+J180+L180)</f>
        <v>2333.1999999999998</v>
      </c>
      <c r="O180" s="415">
        <f>SUM(G180+I180+K180+M180)</f>
        <v>2333.21</v>
      </c>
    </row>
    <row r="181" spans="1:15" ht="45.75" customHeight="1" x14ac:dyDescent="0.25">
      <c r="A181" s="617"/>
      <c r="B181" s="468" t="s">
        <v>150</v>
      </c>
      <c r="C181" s="418"/>
      <c r="D181" s="415"/>
      <c r="E181" s="415"/>
      <c r="F181" s="415"/>
      <c r="G181" s="415"/>
      <c r="H181" s="415"/>
      <c r="I181" s="415"/>
      <c r="J181" s="415"/>
      <c r="K181" s="415"/>
      <c r="L181" s="415"/>
      <c r="M181" s="415"/>
      <c r="N181" s="415"/>
      <c r="O181" s="415"/>
    </row>
    <row r="182" spans="1:15" ht="18" customHeight="1" x14ac:dyDescent="0.25">
      <c r="A182" s="617"/>
      <c r="B182" s="420" t="s">
        <v>59</v>
      </c>
      <c r="C182" s="418"/>
      <c r="D182" s="414">
        <v>170</v>
      </c>
      <c r="E182" s="414">
        <v>170</v>
      </c>
      <c r="F182" s="414">
        <v>0</v>
      </c>
      <c r="G182" s="414">
        <v>0</v>
      </c>
      <c r="H182" s="414">
        <v>170</v>
      </c>
      <c r="I182" s="414">
        <v>0</v>
      </c>
      <c r="J182" s="414">
        <v>0</v>
      </c>
      <c r="K182" s="414">
        <v>170</v>
      </c>
      <c r="L182" s="414">
        <v>0</v>
      </c>
      <c r="M182" s="414">
        <v>0</v>
      </c>
      <c r="N182" s="415">
        <f>SUM(F182+H182+J182+L182)</f>
        <v>170</v>
      </c>
      <c r="O182" s="415">
        <f>SUM(G182+I182+K182+M182)</f>
        <v>170</v>
      </c>
    </row>
    <row r="183" spans="1:15" ht="37.5" customHeight="1" x14ac:dyDescent="0.25">
      <c r="A183" s="617"/>
      <c r="B183" s="468" t="s">
        <v>173</v>
      </c>
      <c r="C183" s="418"/>
      <c r="D183" s="415"/>
      <c r="E183" s="415"/>
      <c r="F183" s="415"/>
      <c r="G183" s="415"/>
      <c r="H183" s="415"/>
      <c r="I183" s="415"/>
      <c r="J183" s="415"/>
      <c r="K183" s="415"/>
      <c r="L183" s="415"/>
      <c r="M183" s="415"/>
      <c r="N183" s="415"/>
      <c r="O183" s="415"/>
    </row>
    <row r="184" spans="1:15" ht="27.75" customHeight="1" x14ac:dyDescent="0.25">
      <c r="A184" s="617"/>
      <c r="B184" s="420" t="s">
        <v>59</v>
      </c>
      <c r="C184" s="418"/>
      <c r="D184" s="414">
        <v>1060.3</v>
      </c>
      <c r="E184" s="414">
        <v>1060.3</v>
      </c>
      <c r="F184" s="414">
        <v>1060.3</v>
      </c>
      <c r="G184" s="414">
        <v>1060.25</v>
      </c>
      <c r="H184" s="414">
        <v>0</v>
      </c>
      <c r="I184" s="414">
        <v>0</v>
      </c>
      <c r="J184" s="414">
        <v>0</v>
      </c>
      <c r="K184" s="414">
        <v>0</v>
      </c>
      <c r="L184" s="414">
        <v>0</v>
      </c>
      <c r="M184" s="414">
        <v>0</v>
      </c>
      <c r="N184" s="415">
        <f>SUM(F184+H184+J184+L184)</f>
        <v>1060.3</v>
      </c>
      <c r="O184" s="415">
        <f>SUM(G184+I184+K184+M184)</f>
        <v>1060.25</v>
      </c>
    </row>
    <row r="185" spans="1:15" s="155" customFormat="1" ht="37.5" customHeight="1" x14ac:dyDescent="0.25">
      <c r="A185" s="617"/>
      <c r="B185" s="468" t="s">
        <v>174</v>
      </c>
      <c r="C185" s="418"/>
      <c r="D185" s="415"/>
      <c r="E185" s="415"/>
      <c r="F185" s="415"/>
      <c r="G185" s="415"/>
      <c r="H185" s="415"/>
      <c r="I185" s="415"/>
      <c r="J185" s="415"/>
      <c r="K185" s="415"/>
      <c r="L185" s="415"/>
      <c r="M185" s="415"/>
      <c r="N185" s="415"/>
      <c r="O185" s="415"/>
    </row>
    <row r="186" spans="1:15" s="155" customFormat="1" ht="20.25" customHeight="1" x14ac:dyDescent="0.25">
      <c r="A186" s="617"/>
      <c r="B186" s="420" t="s">
        <v>59</v>
      </c>
      <c r="C186" s="418"/>
      <c r="D186" s="414">
        <v>287.5</v>
      </c>
      <c r="E186" s="414">
        <v>287.5</v>
      </c>
      <c r="F186" s="414">
        <v>0</v>
      </c>
      <c r="G186" s="414">
        <v>0</v>
      </c>
      <c r="H186" s="414">
        <v>0</v>
      </c>
      <c r="I186" s="414">
        <v>0</v>
      </c>
      <c r="J186" s="414">
        <v>287.5</v>
      </c>
      <c r="K186" s="414"/>
      <c r="L186" s="414"/>
      <c r="M186" s="414">
        <v>283.13</v>
      </c>
      <c r="N186" s="415">
        <f>SUM(F186+H186+J186+L186)</f>
        <v>287.5</v>
      </c>
      <c r="O186" s="415">
        <f>SUM(G186+I186+K186+M186)</f>
        <v>283.13</v>
      </c>
    </row>
    <row r="187" spans="1:15" s="155" customFormat="1" ht="35.25" customHeight="1" x14ac:dyDescent="0.25">
      <c r="A187" s="617"/>
      <c r="B187" s="468" t="s">
        <v>127</v>
      </c>
      <c r="C187" s="418"/>
      <c r="D187" s="415"/>
      <c r="E187" s="415"/>
      <c r="F187" s="415"/>
      <c r="G187" s="415"/>
      <c r="H187" s="415"/>
      <c r="I187" s="415"/>
      <c r="J187" s="415"/>
      <c r="K187" s="415"/>
      <c r="L187" s="415"/>
      <c r="M187" s="415"/>
      <c r="N187" s="415"/>
      <c r="O187" s="415"/>
    </row>
    <row r="188" spans="1:15" s="155" customFormat="1" ht="20.25" customHeight="1" x14ac:dyDescent="0.25">
      <c r="A188" s="617"/>
      <c r="B188" s="420" t="s">
        <v>59</v>
      </c>
      <c r="C188" s="418"/>
      <c r="D188" s="414">
        <v>100</v>
      </c>
      <c r="E188" s="414">
        <v>100</v>
      </c>
      <c r="F188" s="414">
        <v>20</v>
      </c>
      <c r="G188" s="414">
        <v>20</v>
      </c>
      <c r="H188" s="414">
        <v>0</v>
      </c>
      <c r="I188" s="414">
        <v>0</v>
      </c>
      <c r="J188" s="414">
        <v>80</v>
      </c>
      <c r="K188" s="414">
        <v>0</v>
      </c>
      <c r="L188" s="414">
        <v>0</v>
      </c>
      <c r="M188" s="414">
        <v>0</v>
      </c>
      <c r="N188" s="415">
        <f>SUM(F188+H188+J188+L188)</f>
        <v>100</v>
      </c>
      <c r="O188" s="415">
        <f>SUM(G188+I188+K188+M188)</f>
        <v>20</v>
      </c>
    </row>
    <row r="189" spans="1:15" s="155" customFormat="1" ht="36" customHeight="1" x14ac:dyDescent="0.25">
      <c r="A189" s="617"/>
      <c r="B189" s="468" t="s">
        <v>128</v>
      </c>
      <c r="C189" s="418"/>
      <c r="D189" s="415"/>
      <c r="E189" s="415"/>
      <c r="F189" s="415"/>
      <c r="G189" s="415"/>
      <c r="H189" s="415"/>
      <c r="I189" s="415"/>
      <c r="J189" s="415"/>
      <c r="K189" s="415"/>
      <c r="L189" s="415"/>
      <c r="M189" s="415"/>
      <c r="N189" s="415"/>
      <c r="O189" s="415"/>
    </row>
    <row r="190" spans="1:15" s="155" customFormat="1" ht="20.25" customHeight="1" x14ac:dyDescent="0.25">
      <c r="A190" s="617"/>
      <c r="B190" s="420" t="s">
        <v>59</v>
      </c>
      <c r="C190" s="418"/>
      <c r="D190" s="414">
        <v>398</v>
      </c>
      <c r="E190" s="414">
        <v>398</v>
      </c>
      <c r="F190" s="414">
        <v>0</v>
      </c>
      <c r="G190" s="414">
        <v>0</v>
      </c>
      <c r="H190" s="414">
        <v>398</v>
      </c>
      <c r="I190" s="414">
        <v>197.9</v>
      </c>
      <c r="J190" s="414">
        <v>0</v>
      </c>
      <c r="K190" s="414">
        <v>0</v>
      </c>
      <c r="L190" s="414">
        <v>0</v>
      </c>
      <c r="M190" s="414">
        <v>0</v>
      </c>
      <c r="N190" s="415">
        <f>SUM(F190+H190+J190+L190)</f>
        <v>398</v>
      </c>
      <c r="O190" s="415">
        <f>SUM(G190+I190+K190+M190)</f>
        <v>197.9</v>
      </c>
    </row>
    <row r="191" spans="1:15" s="155" customFormat="1" ht="39.75" customHeight="1" x14ac:dyDescent="0.25">
      <c r="A191" s="617"/>
      <c r="B191" s="468" t="s">
        <v>149</v>
      </c>
      <c r="C191" s="418"/>
      <c r="D191" s="415"/>
      <c r="E191" s="415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</row>
    <row r="192" spans="1:15" s="155" customFormat="1" ht="24.75" customHeight="1" x14ac:dyDescent="0.25">
      <c r="A192" s="617"/>
      <c r="B192" s="420" t="s">
        <v>59</v>
      </c>
      <c r="C192" s="418"/>
      <c r="D192" s="414">
        <v>200</v>
      </c>
      <c r="E192" s="414">
        <v>200</v>
      </c>
      <c r="F192" s="414">
        <v>0</v>
      </c>
      <c r="G192" s="414">
        <v>0</v>
      </c>
      <c r="H192" s="414">
        <v>200</v>
      </c>
      <c r="I192" s="414">
        <v>0</v>
      </c>
      <c r="J192" s="414">
        <v>0</v>
      </c>
      <c r="K192" s="414">
        <v>0</v>
      </c>
      <c r="L192" s="414">
        <v>0</v>
      </c>
      <c r="M192" s="414">
        <v>0</v>
      </c>
      <c r="N192" s="415">
        <f>SUM(F192+H192+J192+L192)</f>
        <v>200</v>
      </c>
      <c r="O192" s="415">
        <f>SUM(G192+I192+K192+M192)</f>
        <v>0</v>
      </c>
    </row>
    <row r="193" spans="1:15" s="412" customFormat="1" ht="30" customHeight="1" x14ac:dyDescent="0.25">
      <c r="A193" s="617"/>
      <c r="B193" s="468" t="s">
        <v>110</v>
      </c>
      <c r="C193" s="418"/>
      <c r="D193" s="415"/>
      <c r="E193" s="415"/>
      <c r="F193" s="415"/>
      <c r="G193" s="415"/>
      <c r="H193" s="415"/>
      <c r="I193" s="415"/>
      <c r="J193" s="415"/>
      <c r="K193" s="415"/>
      <c r="L193" s="415"/>
      <c r="M193" s="415"/>
      <c r="N193" s="415"/>
      <c r="O193" s="415"/>
    </row>
    <row r="194" spans="1:15" s="412" customFormat="1" ht="24.75" customHeight="1" x14ac:dyDescent="0.25">
      <c r="A194" s="617"/>
      <c r="B194" s="420" t="s">
        <v>59</v>
      </c>
      <c r="C194" s="418"/>
      <c r="D194" s="414">
        <v>570</v>
      </c>
      <c r="E194" s="414">
        <v>570</v>
      </c>
      <c r="F194" s="414">
        <v>0</v>
      </c>
      <c r="G194" s="414">
        <v>0</v>
      </c>
      <c r="H194" s="414">
        <v>150</v>
      </c>
      <c r="I194" s="414">
        <v>67.94</v>
      </c>
      <c r="J194" s="414">
        <v>200</v>
      </c>
      <c r="K194" s="414">
        <v>0</v>
      </c>
      <c r="L194" s="414">
        <v>220</v>
      </c>
      <c r="M194" s="414">
        <v>484.24</v>
      </c>
      <c r="N194" s="415">
        <f>SUM(F194+H194+J194+L194)</f>
        <v>570</v>
      </c>
      <c r="O194" s="415">
        <f>SUM(G194+I194+K194+M194)</f>
        <v>552.18000000000006</v>
      </c>
    </row>
    <row r="195" spans="1:15" s="412" customFormat="1" ht="52.5" customHeight="1" x14ac:dyDescent="0.25">
      <c r="A195" s="617"/>
      <c r="B195" s="468" t="s">
        <v>111</v>
      </c>
      <c r="C195" s="418"/>
      <c r="D195" s="415"/>
      <c r="E195" s="415"/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</row>
    <row r="196" spans="1:15" s="412" customFormat="1" ht="24.75" customHeight="1" x14ac:dyDescent="0.25">
      <c r="A196" s="617"/>
      <c r="B196" s="420" t="s">
        <v>59</v>
      </c>
      <c r="C196" s="418"/>
      <c r="D196" s="414">
        <v>720.3</v>
      </c>
      <c r="E196" s="414">
        <v>720.3</v>
      </c>
      <c r="F196" s="414">
        <v>0</v>
      </c>
      <c r="G196" s="414">
        <v>0</v>
      </c>
      <c r="H196" s="414">
        <v>720.3</v>
      </c>
      <c r="I196" s="414">
        <v>0</v>
      </c>
      <c r="J196" s="414">
        <v>0</v>
      </c>
      <c r="K196" s="414">
        <v>0</v>
      </c>
      <c r="L196" s="414">
        <v>0</v>
      </c>
      <c r="M196" s="414">
        <v>720.22</v>
      </c>
      <c r="N196" s="415">
        <f>SUM(F196+H196+J196+L196)</f>
        <v>720.3</v>
      </c>
      <c r="O196" s="508">
        <f>SUM(G196+I196+K196+M196)</f>
        <v>720.22</v>
      </c>
    </row>
    <row r="197" spans="1:15" s="412" customFormat="1" ht="53.25" customHeight="1" x14ac:dyDescent="0.25">
      <c r="A197" s="617"/>
      <c r="B197" s="468" t="s">
        <v>112</v>
      </c>
      <c r="C197" s="418"/>
      <c r="D197" s="415"/>
      <c r="E197" s="415"/>
      <c r="F197" s="415"/>
      <c r="G197" s="415"/>
      <c r="H197" s="415"/>
      <c r="I197" s="415"/>
      <c r="J197" s="415"/>
      <c r="K197" s="415"/>
      <c r="L197" s="415"/>
      <c r="M197" s="415"/>
      <c r="N197" s="415"/>
      <c r="O197" s="415"/>
    </row>
    <row r="198" spans="1:15" s="412" customFormat="1" ht="24.75" customHeight="1" x14ac:dyDescent="0.25">
      <c r="A198" s="617"/>
      <c r="B198" s="420" t="s">
        <v>59</v>
      </c>
      <c r="C198" s="418"/>
      <c r="D198" s="414">
        <v>2088.5</v>
      </c>
      <c r="E198" s="507">
        <v>2088.5</v>
      </c>
      <c r="F198" s="414">
        <v>0</v>
      </c>
      <c r="G198" s="414">
        <v>0</v>
      </c>
      <c r="H198" s="414">
        <v>1998.9</v>
      </c>
      <c r="I198" s="414">
        <v>0</v>
      </c>
      <c r="J198" s="414">
        <v>0</v>
      </c>
      <c r="K198" s="414">
        <v>908.59</v>
      </c>
      <c r="L198" s="414">
        <v>89.6</v>
      </c>
      <c r="M198" s="414">
        <v>1090.3</v>
      </c>
      <c r="N198" s="415">
        <f>SUM(F198+H198+J198+L198)</f>
        <v>2088.5</v>
      </c>
      <c r="O198" s="415">
        <f>SUM(G198+I198+K198+M198)</f>
        <v>1998.8899999999999</v>
      </c>
    </row>
    <row r="199" spans="1:15" s="412" customFormat="1" ht="34.5" customHeight="1" x14ac:dyDescent="0.25">
      <c r="A199" s="617"/>
      <c r="B199" s="549" t="s">
        <v>113</v>
      </c>
      <c r="C199" s="418"/>
      <c r="D199" s="507"/>
      <c r="E199" s="507"/>
      <c r="F199" s="507"/>
      <c r="G199" s="507"/>
      <c r="H199" s="507"/>
      <c r="I199" s="507"/>
      <c r="J199" s="507"/>
      <c r="K199" s="507"/>
      <c r="L199" s="507"/>
      <c r="M199" s="507"/>
      <c r="N199" s="508"/>
      <c r="O199" s="508"/>
    </row>
    <row r="200" spans="1:15" s="412" customFormat="1" ht="24.75" customHeight="1" x14ac:dyDescent="0.25">
      <c r="A200" s="617"/>
      <c r="B200" s="548" t="s">
        <v>59</v>
      </c>
      <c r="C200" s="418"/>
      <c r="D200" s="551">
        <v>400</v>
      </c>
      <c r="E200" s="551">
        <v>400</v>
      </c>
      <c r="F200" s="551">
        <v>0</v>
      </c>
      <c r="G200" s="551">
        <v>0</v>
      </c>
      <c r="H200" s="551">
        <v>400</v>
      </c>
      <c r="I200" s="551">
        <v>200</v>
      </c>
      <c r="J200" s="551">
        <v>0</v>
      </c>
      <c r="K200" s="551">
        <v>0</v>
      </c>
      <c r="L200" s="551">
        <v>0</v>
      </c>
      <c r="M200" s="551">
        <v>0</v>
      </c>
      <c r="N200" s="552">
        <f>SUM(F200+H200+J200+L200)</f>
        <v>400</v>
      </c>
      <c r="O200" s="552">
        <f>SUM(G200+I200+K200+M200)</f>
        <v>200</v>
      </c>
    </row>
    <row r="201" spans="1:15" s="412" customFormat="1" ht="55.5" customHeight="1" x14ac:dyDescent="0.25">
      <c r="A201" s="617"/>
      <c r="B201" s="503" t="s">
        <v>185</v>
      </c>
      <c r="C201" s="418"/>
      <c r="D201" s="414"/>
      <c r="E201" s="414"/>
      <c r="F201" s="414"/>
      <c r="G201" s="414"/>
      <c r="H201" s="414"/>
      <c r="I201" s="414"/>
      <c r="J201" s="414"/>
      <c r="K201" s="414"/>
      <c r="L201" s="414"/>
      <c r="M201" s="414"/>
      <c r="N201" s="415"/>
      <c r="O201" s="415"/>
    </row>
    <row r="202" spans="1:15" s="412" customFormat="1" ht="24.75" customHeight="1" x14ac:dyDescent="0.25">
      <c r="A202" s="617"/>
      <c r="B202" s="502" t="s">
        <v>59</v>
      </c>
      <c r="C202" s="418"/>
      <c r="D202" s="504">
        <v>304</v>
      </c>
      <c r="E202" s="504">
        <v>304</v>
      </c>
      <c r="F202" s="504"/>
      <c r="G202" s="504"/>
      <c r="H202" s="504"/>
      <c r="I202" s="504"/>
      <c r="J202" s="504">
        <v>304</v>
      </c>
      <c r="K202" s="504">
        <v>304</v>
      </c>
      <c r="L202" s="504"/>
      <c r="M202" s="504"/>
      <c r="N202" s="505">
        <f>SUM(F202+H202+J202+L202)</f>
        <v>304</v>
      </c>
      <c r="O202" s="505">
        <f>SUM(G202+I202+K202+M202)</f>
        <v>304</v>
      </c>
    </row>
    <row r="203" spans="1:15" s="412" customFormat="1" ht="67.5" customHeight="1" x14ac:dyDescent="0.25">
      <c r="A203" s="617"/>
      <c r="B203" s="503" t="s">
        <v>186</v>
      </c>
      <c r="C203" s="418"/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5"/>
      <c r="O203" s="415"/>
    </row>
    <row r="204" spans="1:15" s="412" customFormat="1" ht="24.75" customHeight="1" x14ac:dyDescent="0.25">
      <c r="A204" s="617"/>
      <c r="B204" s="502" t="s">
        <v>59</v>
      </c>
      <c r="C204" s="418"/>
      <c r="D204" s="507">
        <v>496</v>
      </c>
      <c r="E204" s="507">
        <v>496</v>
      </c>
      <c r="F204" s="507"/>
      <c r="G204" s="507"/>
      <c r="H204" s="507"/>
      <c r="I204" s="507"/>
      <c r="J204" s="507">
        <v>496</v>
      </c>
      <c r="K204" s="507">
        <v>496</v>
      </c>
      <c r="L204" s="507"/>
      <c r="M204" s="507"/>
      <c r="N204" s="508">
        <f t="shared" ref="N204:O208" si="38">SUM(F204+H204+J204+L204)</f>
        <v>496</v>
      </c>
      <c r="O204" s="508">
        <f t="shared" si="38"/>
        <v>496</v>
      </c>
    </row>
    <row r="205" spans="1:15" s="550" customFormat="1" ht="47.25" customHeight="1" x14ac:dyDescent="0.25">
      <c r="A205" s="617"/>
      <c r="B205" s="557" t="s">
        <v>202</v>
      </c>
      <c r="C205" s="559"/>
      <c r="D205" s="558">
        <v>6082.1</v>
      </c>
      <c r="E205" s="558">
        <v>6082.1</v>
      </c>
      <c r="F205" s="558"/>
      <c r="G205" s="558"/>
      <c r="H205" s="558"/>
      <c r="I205" s="558"/>
      <c r="J205" s="558"/>
      <c r="K205" s="558"/>
      <c r="L205" s="558">
        <v>6082.1</v>
      </c>
      <c r="M205" s="558">
        <v>5472.99</v>
      </c>
      <c r="N205" s="558">
        <f t="shared" si="38"/>
        <v>6082.1</v>
      </c>
      <c r="O205" s="558">
        <f t="shared" si="38"/>
        <v>5472.99</v>
      </c>
    </row>
    <row r="206" spans="1:15" s="550" customFormat="1" ht="24.75" customHeight="1" x14ac:dyDescent="0.25">
      <c r="A206" s="617"/>
      <c r="B206" s="561" t="s">
        <v>58</v>
      </c>
      <c r="C206" s="559"/>
      <c r="D206" s="558"/>
      <c r="E206" s="558"/>
      <c r="F206" s="558"/>
      <c r="G206" s="558"/>
      <c r="H206" s="558"/>
      <c r="I206" s="558"/>
      <c r="J206" s="558"/>
      <c r="K206" s="558"/>
      <c r="L206" s="558"/>
      <c r="M206" s="558"/>
      <c r="N206" s="558">
        <f t="shared" si="38"/>
        <v>0</v>
      </c>
      <c r="O206" s="558">
        <f t="shared" si="38"/>
        <v>0</v>
      </c>
    </row>
    <row r="207" spans="1:15" s="550" customFormat="1" ht="24.75" customHeight="1" x14ac:dyDescent="0.25">
      <c r="A207" s="617"/>
      <c r="B207" s="561" t="s">
        <v>59</v>
      </c>
      <c r="C207" s="559"/>
      <c r="D207" s="558">
        <v>851.6</v>
      </c>
      <c r="E207" s="558">
        <v>851.6</v>
      </c>
      <c r="F207" s="558"/>
      <c r="G207" s="558"/>
      <c r="H207" s="558"/>
      <c r="I207" s="558"/>
      <c r="J207" s="558"/>
      <c r="K207" s="558"/>
      <c r="L207" s="558">
        <v>851.6</v>
      </c>
      <c r="M207" s="558">
        <v>766.2</v>
      </c>
      <c r="N207" s="558">
        <f t="shared" si="38"/>
        <v>851.6</v>
      </c>
      <c r="O207" s="558">
        <f t="shared" si="38"/>
        <v>766.2</v>
      </c>
    </row>
    <row r="208" spans="1:15" s="550" customFormat="1" ht="24.75" customHeight="1" x14ac:dyDescent="0.25">
      <c r="A208" s="617"/>
      <c r="B208" s="560" t="s">
        <v>60</v>
      </c>
      <c r="C208" s="559"/>
      <c r="D208" s="558">
        <v>5230.5</v>
      </c>
      <c r="E208" s="558">
        <v>5230.5</v>
      </c>
      <c r="F208" s="558"/>
      <c r="G208" s="558"/>
      <c r="H208" s="558"/>
      <c r="I208" s="558"/>
      <c r="J208" s="558"/>
      <c r="K208" s="558"/>
      <c r="L208" s="558">
        <v>5230.5</v>
      </c>
      <c r="M208" s="558">
        <v>4706.7</v>
      </c>
      <c r="N208" s="558">
        <f t="shared" si="38"/>
        <v>5230.5</v>
      </c>
      <c r="O208" s="558">
        <f t="shared" si="38"/>
        <v>4706.7</v>
      </c>
    </row>
    <row r="209" spans="1:15" s="550" customFormat="1" ht="72" customHeight="1" x14ac:dyDescent="0.25">
      <c r="A209" s="617"/>
      <c r="B209" s="557" t="s">
        <v>203</v>
      </c>
      <c r="C209" s="559"/>
      <c r="D209" s="558"/>
      <c r="E209" s="558"/>
      <c r="F209" s="558"/>
      <c r="G209" s="558"/>
      <c r="H209" s="558"/>
      <c r="I209" s="558"/>
      <c r="J209" s="558"/>
      <c r="K209" s="558"/>
      <c r="L209" s="558"/>
      <c r="M209" s="558"/>
      <c r="N209" s="558"/>
      <c r="O209" s="558"/>
    </row>
    <row r="210" spans="1:15" s="550" customFormat="1" ht="24.75" customHeight="1" x14ac:dyDescent="0.25">
      <c r="A210" s="617"/>
      <c r="B210" s="561" t="s">
        <v>59</v>
      </c>
      <c r="C210" s="559"/>
      <c r="D210" s="558">
        <v>50000</v>
      </c>
      <c r="E210" s="558">
        <v>50000</v>
      </c>
      <c r="F210" s="558"/>
      <c r="G210" s="558"/>
      <c r="H210" s="558"/>
      <c r="I210" s="558"/>
      <c r="J210" s="558"/>
      <c r="K210" s="558"/>
      <c r="L210" s="558">
        <v>50000</v>
      </c>
      <c r="M210" s="558"/>
      <c r="N210" s="558">
        <f>SUM(F210+H210+J210+L210)</f>
        <v>50000</v>
      </c>
      <c r="O210" s="558">
        <f>SUM(G210+I210+K210+M210)</f>
        <v>0</v>
      </c>
    </row>
    <row r="211" spans="1:15" s="556" customFormat="1" ht="46.5" customHeight="1" x14ac:dyDescent="0.25">
      <c r="A211" s="617"/>
      <c r="B211" s="557" t="s">
        <v>204</v>
      </c>
      <c r="C211" s="559"/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8"/>
      <c r="O211" s="558"/>
    </row>
    <row r="212" spans="1:15" s="556" customFormat="1" ht="24.75" customHeight="1" x14ac:dyDescent="0.25">
      <c r="A212" s="617"/>
      <c r="B212" s="561" t="s">
        <v>59</v>
      </c>
      <c r="C212" s="559"/>
      <c r="D212" s="558">
        <v>1151.3</v>
      </c>
      <c r="E212" s="558">
        <v>1151.3</v>
      </c>
      <c r="F212" s="558"/>
      <c r="G212" s="558"/>
      <c r="H212" s="558"/>
      <c r="I212" s="558"/>
      <c r="J212" s="558"/>
      <c r="K212" s="558"/>
      <c r="L212" s="558">
        <v>1151.3</v>
      </c>
      <c r="M212" s="558"/>
      <c r="N212" s="558">
        <f>SUM(F212+H212+J212+L212)</f>
        <v>1151.3</v>
      </c>
      <c r="O212" s="558">
        <f>SUM(G212+I212+K212+M212)</f>
        <v>0</v>
      </c>
    </row>
    <row r="213" spans="1:15" s="556" customFormat="1" ht="43.5" customHeight="1" x14ac:dyDescent="0.25">
      <c r="A213" s="617"/>
      <c r="B213" s="557" t="s">
        <v>205</v>
      </c>
      <c r="C213" s="559"/>
      <c r="D213" s="558"/>
      <c r="E213" s="558"/>
      <c r="F213" s="558"/>
      <c r="G213" s="558"/>
      <c r="H213" s="558"/>
      <c r="I213" s="558"/>
      <c r="J213" s="558"/>
      <c r="K213" s="558"/>
      <c r="L213" s="558"/>
      <c r="M213" s="558"/>
      <c r="N213" s="558"/>
      <c r="O213" s="558"/>
    </row>
    <row r="214" spans="1:15" s="556" customFormat="1" ht="24.75" customHeight="1" x14ac:dyDescent="0.25">
      <c r="A214" s="617"/>
      <c r="B214" s="561" t="s">
        <v>59</v>
      </c>
      <c r="C214" s="559"/>
      <c r="D214" s="558">
        <v>881</v>
      </c>
      <c r="E214" s="558">
        <v>881</v>
      </c>
      <c r="F214" s="558"/>
      <c r="G214" s="558"/>
      <c r="H214" s="558"/>
      <c r="I214" s="558"/>
      <c r="J214" s="558"/>
      <c r="K214" s="558"/>
      <c r="L214" s="558">
        <v>881</v>
      </c>
      <c r="M214" s="558">
        <v>0</v>
      </c>
      <c r="N214" s="558">
        <v>881</v>
      </c>
      <c r="O214" s="558">
        <f>SUM(G214+I214+K214+M214)</f>
        <v>0</v>
      </c>
    </row>
    <row r="215" spans="1:15" s="556" customFormat="1" ht="76.5" customHeight="1" x14ac:dyDescent="0.25">
      <c r="A215" s="617"/>
      <c r="B215" s="557" t="s">
        <v>206</v>
      </c>
      <c r="C215" s="559"/>
      <c r="D215" s="558"/>
      <c r="E215" s="558"/>
      <c r="F215" s="558"/>
      <c r="G215" s="558"/>
      <c r="H215" s="558"/>
      <c r="I215" s="558"/>
      <c r="J215" s="558"/>
      <c r="K215" s="558"/>
      <c r="L215" s="558"/>
      <c r="M215" s="558"/>
      <c r="N215" s="558"/>
      <c r="O215" s="558"/>
    </row>
    <row r="216" spans="1:15" s="556" customFormat="1" ht="24.75" customHeight="1" x14ac:dyDescent="0.25">
      <c r="A216" s="617"/>
      <c r="B216" s="561" t="s">
        <v>59</v>
      </c>
      <c r="C216" s="559"/>
      <c r="D216" s="558">
        <v>1100</v>
      </c>
      <c r="E216" s="558">
        <v>1100</v>
      </c>
      <c r="F216" s="558"/>
      <c r="G216" s="558"/>
      <c r="H216" s="558"/>
      <c r="I216" s="558"/>
      <c r="J216" s="558"/>
      <c r="K216" s="558"/>
      <c r="L216" s="558">
        <v>1100</v>
      </c>
      <c r="M216" s="558">
        <v>0</v>
      </c>
      <c r="N216" s="558">
        <f>SUM(F216+H216+J216+L216)</f>
        <v>1100</v>
      </c>
      <c r="O216" s="558">
        <f>SUM(G216+I216+K216+M216)</f>
        <v>0</v>
      </c>
    </row>
    <row r="217" spans="1:15" s="155" customFormat="1" ht="37.5" customHeight="1" x14ac:dyDescent="0.25">
      <c r="A217" s="617"/>
      <c r="B217" s="557" t="s">
        <v>207</v>
      </c>
      <c r="C217" s="559"/>
      <c r="D217" s="558"/>
      <c r="E217" s="558"/>
      <c r="F217" s="558"/>
      <c r="G217" s="558"/>
      <c r="H217" s="558"/>
      <c r="I217" s="558"/>
      <c r="J217" s="558"/>
      <c r="K217" s="558"/>
      <c r="L217" s="558"/>
      <c r="M217" s="558"/>
      <c r="N217" s="558"/>
      <c r="O217" s="558"/>
    </row>
    <row r="218" spans="1:15" s="155" customFormat="1" ht="26.25" customHeight="1" x14ac:dyDescent="0.25">
      <c r="A218" s="618"/>
      <c r="B218" s="561" t="s">
        <v>59</v>
      </c>
      <c r="C218" s="559"/>
      <c r="D218" s="558">
        <v>159.1</v>
      </c>
      <c r="E218" s="558">
        <v>159.1</v>
      </c>
      <c r="F218" s="558"/>
      <c r="G218" s="558"/>
      <c r="H218" s="558"/>
      <c r="I218" s="558"/>
      <c r="J218" s="558"/>
      <c r="K218" s="558"/>
      <c r="L218" s="558">
        <v>159.1</v>
      </c>
      <c r="M218" s="558">
        <v>0</v>
      </c>
      <c r="N218" s="558">
        <f>SUM(F218+H218+J218+L218)</f>
        <v>159.1</v>
      </c>
      <c r="O218" s="558">
        <f>SUM(G218+I218+K218+M218)</f>
        <v>0</v>
      </c>
    </row>
    <row r="219" spans="1:15" ht="37.5" x14ac:dyDescent="0.2">
      <c r="A219" s="5" t="s">
        <v>55</v>
      </c>
      <c r="B219" s="34"/>
      <c r="C219" s="34"/>
      <c r="D219" s="421">
        <f t="shared" ref="D219:O219" si="39">SUM(D218+D216+D214+D212+D210+D205+D204+D202+D200+D198+D196+D194+D192+D190+D188+D186+D184+D182+D180+D178+D174+D172+D167)</f>
        <v>93907.13</v>
      </c>
      <c r="E219" s="554">
        <f t="shared" si="39"/>
        <v>93907.13</v>
      </c>
      <c r="F219" s="554">
        <f t="shared" si="39"/>
        <v>2874.9</v>
      </c>
      <c r="G219" s="554">
        <f t="shared" si="39"/>
        <v>1925.35</v>
      </c>
      <c r="H219" s="554">
        <f t="shared" si="39"/>
        <v>26162.799999999999</v>
      </c>
      <c r="I219" s="554">
        <f t="shared" si="39"/>
        <v>2004.9499999999998</v>
      </c>
      <c r="J219" s="554">
        <f t="shared" si="39"/>
        <v>4932.2</v>
      </c>
      <c r="K219" s="554">
        <f t="shared" si="39"/>
        <v>26979.090000000004</v>
      </c>
      <c r="L219" s="554">
        <f t="shared" si="39"/>
        <v>59937.229999999996</v>
      </c>
      <c r="M219" s="554">
        <f t="shared" si="39"/>
        <v>8050.88</v>
      </c>
      <c r="N219" s="554">
        <f t="shared" si="39"/>
        <v>93907.13</v>
      </c>
      <c r="O219" s="554">
        <f t="shared" si="39"/>
        <v>38960.270000000004</v>
      </c>
    </row>
    <row r="220" spans="1:15" ht="20.25" customHeight="1" x14ac:dyDescent="0.2">
      <c r="A220" s="8"/>
      <c r="B220" s="20" t="s">
        <v>58</v>
      </c>
      <c r="C220" s="20"/>
      <c r="D220" s="421"/>
      <c r="E220" s="421"/>
      <c r="F220" s="421"/>
      <c r="G220" s="421"/>
      <c r="H220" s="421"/>
      <c r="I220" s="421"/>
      <c r="J220" s="421"/>
      <c r="K220" s="421"/>
      <c r="L220" s="421"/>
      <c r="M220" s="421"/>
      <c r="N220" s="421"/>
      <c r="O220" s="421"/>
    </row>
    <row r="221" spans="1:15" ht="15.75" x14ac:dyDescent="0.2">
      <c r="A221" s="8"/>
      <c r="B221" s="20" t="s">
        <v>59</v>
      </c>
      <c r="C221" s="20"/>
      <c r="D221" s="421">
        <f t="shared" ref="D221:O221" si="40">SUM(D218+D216+D214+D212+D210+D207+D204+D202+D200+D198+D196+D194+D192+D190+D188+D186+D184+D182+D180+D178+D174+D172+D169)</f>
        <v>78329.430000000008</v>
      </c>
      <c r="E221" s="554">
        <f t="shared" si="40"/>
        <v>78329.430000000008</v>
      </c>
      <c r="F221" s="554">
        <f t="shared" si="40"/>
        <v>2874.9</v>
      </c>
      <c r="G221" s="554">
        <f t="shared" si="40"/>
        <v>1925.35</v>
      </c>
      <c r="H221" s="554">
        <f t="shared" si="40"/>
        <v>15815.6</v>
      </c>
      <c r="I221" s="554">
        <f t="shared" si="40"/>
        <v>2004.9499999999998</v>
      </c>
      <c r="J221" s="554">
        <f t="shared" si="40"/>
        <v>4932.2</v>
      </c>
      <c r="K221" s="554">
        <f t="shared" si="40"/>
        <v>16631.990000000002</v>
      </c>
      <c r="L221" s="554">
        <f t="shared" si="40"/>
        <v>54706.729999999996</v>
      </c>
      <c r="M221" s="554">
        <f t="shared" si="40"/>
        <v>3344.09</v>
      </c>
      <c r="N221" s="554">
        <f t="shared" si="40"/>
        <v>78329.430000000008</v>
      </c>
      <c r="O221" s="554">
        <f t="shared" si="40"/>
        <v>23906.379999999997</v>
      </c>
    </row>
    <row r="222" spans="1:15" s="1" customFormat="1" ht="32.25" customHeight="1" thickBot="1" x14ac:dyDescent="0.25">
      <c r="A222" s="8"/>
      <c r="B222" s="33" t="s">
        <v>60</v>
      </c>
      <c r="C222" s="78"/>
      <c r="D222" s="422">
        <f>SUM(D208+D170)</f>
        <v>15577.7</v>
      </c>
      <c r="E222" s="555">
        <f>SUM(E208+E170)</f>
        <v>15577.7</v>
      </c>
      <c r="F222" s="422">
        <f>SUM(F170)</f>
        <v>0</v>
      </c>
      <c r="G222" s="422">
        <f>SUM(G170)</f>
        <v>0</v>
      </c>
      <c r="H222" s="555">
        <f>SUM(H208+H170)</f>
        <v>10347.200000000001</v>
      </c>
      <c r="I222" s="422">
        <f>SUM(I170)</f>
        <v>0</v>
      </c>
      <c r="J222" s="422">
        <f>SUM(J170)</f>
        <v>0</v>
      </c>
      <c r="K222" s="555">
        <f>SUM(K208+K170)</f>
        <v>10347.1</v>
      </c>
      <c r="L222" s="422">
        <f>SUM(L170)</f>
        <v>0</v>
      </c>
      <c r="M222" s="422">
        <f>SUM(M170)</f>
        <v>0</v>
      </c>
      <c r="N222" s="555">
        <f>SUM(N208+N170)</f>
        <v>15577.7</v>
      </c>
      <c r="O222" s="555">
        <f>SUM(O208+O170)</f>
        <v>15053.8</v>
      </c>
    </row>
    <row r="223" spans="1:15" s="1" customFormat="1" ht="82.5" customHeight="1" thickBot="1" x14ac:dyDescent="0.25">
      <c r="A223" s="316" t="s">
        <v>77</v>
      </c>
      <c r="B223" s="9" t="s">
        <v>48</v>
      </c>
      <c r="C223" s="9"/>
      <c r="D223" s="10">
        <v>9439.7999999999993</v>
      </c>
      <c r="E223" s="465">
        <v>9439.7999999999993</v>
      </c>
      <c r="F223" s="10">
        <v>1515.5</v>
      </c>
      <c r="G223" s="10">
        <v>1515.5</v>
      </c>
      <c r="H223" s="10">
        <v>1982</v>
      </c>
      <c r="I223" s="10">
        <v>2515.1999999999998</v>
      </c>
      <c r="J223" s="10">
        <v>1981.9</v>
      </c>
      <c r="K223" s="10">
        <v>2409.6999999999998</v>
      </c>
      <c r="L223" s="10">
        <v>3960.4</v>
      </c>
      <c r="M223" s="10">
        <v>2663</v>
      </c>
      <c r="N223" s="10">
        <f t="shared" ref="N223:O223" si="41">SUM(F223+H223+J223+L223)</f>
        <v>9439.7999999999993</v>
      </c>
      <c r="O223" s="10">
        <f t="shared" si="41"/>
        <v>9103.4</v>
      </c>
    </row>
    <row r="224" spans="1:15" s="1" customFormat="1" ht="39.75" customHeight="1" x14ac:dyDescent="0.2">
      <c r="A224" s="36" t="s">
        <v>56</v>
      </c>
      <c r="B224" s="29"/>
      <c r="C224" s="29"/>
      <c r="D224" s="30">
        <f>SUM(D223+D219+D163)</f>
        <v>103432.93000000001</v>
      </c>
      <c r="E224" s="30">
        <f>SUM(E223+E219+E163)</f>
        <v>103432.93000000001</v>
      </c>
      <c r="F224" s="30">
        <f>SUM(F223+F219+F163)</f>
        <v>4390.3999999999996</v>
      </c>
      <c r="G224" s="30">
        <f>SUM(G223+G219+G163)</f>
        <v>3440.85</v>
      </c>
      <c r="H224" s="30">
        <f>SUM(H223+H219+H163)</f>
        <v>28144.799999999999</v>
      </c>
      <c r="I224" s="30">
        <f t="shared" ref="I224:O224" si="42">SUM(I223+I219)</f>
        <v>4520.1499999999996</v>
      </c>
      <c r="J224" s="30">
        <f>SUM(J223+J219+J163)</f>
        <v>6914.1</v>
      </c>
      <c r="K224" s="30">
        <f t="shared" si="42"/>
        <v>29388.790000000005</v>
      </c>
      <c r="L224" s="30">
        <f>SUM(L223+L219+L163)</f>
        <v>63983.63</v>
      </c>
      <c r="M224" s="30">
        <f t="shared" si="42"/>
        <v>10713.880000000001</v>
      </c>
      <c r="N224" s="30">
        <f>SUM(N223+N219+N163)</f>
        <v>103432.93000000001</v>
      </c>
      <c r="O224" s="30">
        <f t="shared" si="42"/>
        <v>48063.670000000006</v>
      </c>
    </row>
    <row r="225" spans="1:15" s="1" customFormat="1" ht="24.75" customHeight="1" x14ac:dyDescent="0.2">
      <c r="A225" s="650"/>
      <c r="B225" s="39" t="s">
        <v>58</v>
      </c>
      <c r="C225" s="39"/>
      <c r="D225" s="46"/>
      <c r="E225" s="46"/>
      <c r="F225" s="46"/>
      <c r="G225" s="46"/>
      <c r="H225" s="46"/>
      <c r="I225" s="46"/>
      <c r="J225" s="46"/>
      <c r="K225" s="46"/>
      <c r="L225" s="46"/>
      <c r="M225" s="126"/>
      <c r="N225" s="47"/>
      <c r="O225" s="63"/>
    </row>
    <row r="226" spans="1:15" s="1" customFormat="1" ht="37.5" customHeight="1" x14ac:dyDescent="0.2">
      <c r="A226" s="651"/>
      <c r="B226" s="39" t="s">
        <v>59</v>
      </c>
      <c r="C226" s="39"/>
      <c r="D226" s="259">
        <f t="shared" ref="D226:L226" si="43">SUM(D223+D221+D165)</f>
        <v>87855.23000000001</v>
      </c>
      <c r="E226" s="259">
        <f t="shared" si="43"/>
        <v>87855.23000000001</v>
      </c>
      <c r="F226" s="259">
        <f t="shared" si="43"/>
        <v>4390.3999999999996</v>
      </c>
      <c r="G226" s="259">
        <f t="shared" si="43"/>
        <v>3440.85</v>
      </c>
      <c r="H226" s="259">
        <f t="shared" si="43"/>
        <v>17797.599999999999</v>
      </c>
      <c r="I226" s="259">
        <f t="shared" si="43"/>
        <v>4520.1499999999996</v>
      </c>
      <c r="J226" s="259">
        <f t="shared" si="43"/>
        <v>6914.1</v>
      </c>
      <c r="K226" s="259">
        <f t="shared" si="43"/>
        <v>19041.690000000002</v>
      </c>
      <c r="L226" s="259">
        <f t="shared" si="43"/>
        <v>58753.13</v>
      </c>
      <c r="M226" s="259">
        <f t="shared" ref="M226" si="44">SUM(M223+M221)</f>
        <v>6007.09</v>
      </c>
      <c r="N226" s="259">
        <f>SUM(N223+N221+N165)</f>
        <v>87855.23000000001</v>
      </c>
      <c r="O226" s="259">
        <f>SUM(O223+O221+O165)</f>
        <v>33009.78</v>
      </c>
    </row>
    <row r="227" spans="1:15" s="1" customFormat="1" ht="43.5" customHeight="1" thickBot="1" x14ac:dyDescent="0.25">
      <c r="A227" s="652"/>
      <c r="B227" s="40" t="s">
        <v>60</v>
      </c>
      <c r="C227" s="84"/>
      <c r="D227" s="259">
        <f t="shared" ref="D227:O227" si="45">SUM(D222)</f>
        <v>15577.7</v>
      </c>
      <c r="E227" s="259">
        <f t="shared" si="45"/>
        <v>15577.7</v>
      </c>
      <c r="F227" s="259">
        <f t="shared" si="45"/>
        <v>0</v>
      </c>
      <c r="G227" s="259">
        <f t="shared" si="45"/>
        <v>0</v>
      </c>
      <c r="H227" s="259">
        <f t="shared" si="45"/>
        <v>10347.200000000001</v>
      </c>
      <c r="I227" s="259">
        <f t="shared" si="45"/>
        <v>0</v>
      </c>
      <c r="J227" s="259">
        <f t="shared" si="45"/>
        <v>0</v>
      </c>
      <c r="K227" s="259">
        <f t="shared" si="45"/>
        <v>10347.1</v>
      </c>
      <c r="L227" s="259">
        <f t="shared" si="45"/>
        <v>0</v>
      </c>
      <c r="M227" s="259">
        <f t="shared" si="45"/>
        <v>0</v>
      </c>
      <c r="N227" s="259">
        <f t="shared" si="45"/>
        <v>15577.7</v>
      </c>
      <c r="O227" s="259">
        <f t="shared" si="45"/>
        <v>15053.8</v>
      </c>
    </row>
    <row r="228" spans="1:15" s="1" customFormat="1" ht="40.5" customHeight="1" x14ac:dyDescent="0.25">
      <c r="A228" s="607" t="s">
        <v>24</v>
      </c>
      <c r="B228" s="608"/>
      <c r="C228" s="608"/>
      <c r="D228" s="608"/>
      <c r="E228" s="608"/>
      <c r="F228" s="608"/>
      <c r="G228" s="608"/>
      <c r="H228" s="608"/>
      <c r="I228" s="608"/>
      <c r="J228" s="608"/>
      <c r="K228" s="608"/>
      <c r="L228" s="608"/>
      <c r="M228" s="608"/>
      <c r="N228" s="608"/>
      <c r="O228" s="608"/>
    </row>
    <row r="229" spans="1:15" ht="77.25" customHeight="1" x14ac:dyDescent="0.2">
      <c r="A229" s="562" t="s">
        <v>25</v>
      </c>
      <c r="B229" s="564" t="s">
        <v>119</v>
      </c>
      <c r="C229" s="206"/>
      <c r="D229" s="312">
        <v>8582</v>
      </c>
      <c r="E229" s="312">
        <v>8582</v>
      </c>
      <c r="F229" s="312"/>
      <c r="G229" s="312"/>
      <c r="H229" s="312">
        <v>8582</v>
      </c>
      <c r="I229" s="312">
        <v>8352</v>
      </c>
      <c r="J229" s="312"/>
      <c r="K229" s="312"/>
      <c r="L229" s="312"/>
      <c r="M229" s="312">
        <v>230</v>
      </c>
      <c r="N229" s="351">
        <f t="shared" ref="N229" si="46">SUM(F229+H229+J229+L229)</f>
        <v>8582</v>
      </c>
      <c r="O229" s="225">
        <f>SUM(G229+I229+K229+M229)</f>
        <v>8582</v>
      </c>
    </row>
    <row r="230" spans="1:15" ht="53.25" customHeight="1" x14ac:dyDescent="0.2">
      <c r="A230" s="5" t="s">
        <v>12</v>
      </c>
      <c r="B230" s="34"/>
      <c r="C230" s="34"/>
      <c r="D230" s="6">
        <f t="shared" ref="D230:O230" si="47">SUM(D229)</f>
        <v>8582</v>
      </c>
      <c r="E230" s="6">
        <f t="shared" si="47"/>
        <v>8582</v>
      </c>
      <c r="F230" s="6">
        <f t="shared" si="47"/>
        <v>0</v>
      </c>
      <c r="G230" s="6">
        <f t="shared" si="47"/>
        <v>0</v>
      </c>
      <c r="H230" s="6">
        <f t="shared" si="47"/>
        <v>8582</v>
      </c>
      <c r="I230" s="6">
        <f t="shared" si="47"/>
        <v>8352</v>
      </c>
      <c r="J230" s="6">
        <f t="shared" si="47"/>
        <v>0</v>
      </c>
      <c r="K230" s="6">
        <f t="shared" si="47"/>
        <v>0</v>
      </c>
      <c r="L230" s="6">
        <f t="shared" si="47"/>
        <v>0</v>
      </c>
      <c r="M230" s="6">
        <f t="shared" si="47"/>
        <v>230</v>
      </c>
      <c r="N230" s="6">
        <f t="shared" si="47"/>
        <v>8582</v>
      </c>
      <c r="O230" s="6">
        <f t="shared" si="47"/>
        <v>8582</v>
      </c>
    </row>
    <row r="231" spans="1:15" ht="29.25" customHeight="1" x14ac:dyDescent="0.2">
      <c r="A231" s="5"/>
      <c r="B231" s="20" t="s">
        <v>58</v>
      </c>
      <c r="C231" s="20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30.75" customHeight="1" x14ac:dyDescent="0.2">
      <c r="A232" s="5"/>
      <c r="B232" s="20" t="s">
        <v>59</v>
      </c>
      <c r="C232" s="20"/>
      <c r="D232" s="6">
        <f t="shared" ref="D232:O232" si="48">SUM(D229)</f>
        <v>8582</v>
      </c>
      <c r="E232" s="6">
        <f t="shared" si="48"/>
        <v>8582</v>
      </c>
      <c r="F232" s="6">
        <f t="shared" si="48"/>
        <v>0</v>
      </c>
      <c r="G232" s="6">
        <f t="shared" si="48"/>
        <v>0</v>
      </c>
      <c r="H232" s="6">
        <f t="shared" si="48"/>
        <v>8582</v>
      </c>
      <c r="I232" s="6">
        <f t="shared" si="48"/>
        <v>8352</v>
      </c>
      <c r="J232" s="6">
        <f t="shared" si="48"/>
        <v>0</v>
      </c>
      <c r="K232" s="6">
        <f t="shared" si="48"/>
        <v>0</v>
      </c>
      <c r="L232" s="6">
        <f t="shared" si="48"/>
        <v>0</v>
      </c>
      <c r="M232" s="6">
        <f t="shared" si="48"/>
        <v>230</v>
      </c>
      <c r="N232" s="6">
        <f t="shared" si="48"/>
        <v>8582</v>
      </c>
      <c r="O232" s="6">
        <f t="shared" si="48"/>
        <v>8582</v>
      </c>
    </row>
    <row r="233" spans="1:15" ht="42" customHeight="1" x14ac:dyDescent="0.2">
      <c r="A233" s="5"/>
      <c r="B233" s="78" t="s">
        <v>60</v>
      </c>
      <c r="C233" s="78"/>
      <c r="D233" s="6"/>
      <c r="E233" s="6"/>
      <c r="F233" s="6">
        <v>0</v>
      </c>
      <c r="G233" s="6">
        <v>0</v>
      </c>
      <c r="H233" s="6">
        <v>0</v>
      </c>
      <c r="I233" s="6">
        <v>0</v>
      </c>
      <c r="J233" s="6"/>
      <c r="K233" s="6">
        <v>0</v>
      </c>
      <c r="L233" s="6"/>
      <c r="M233" s="6"/>
      <c r="N233" s="6"/>
      <c r="O233" s="6"/>
    </row>
    <row r="234" spans="1:15" ht="160.5" customHeight="1" x14ac:dyDescent="0.25">
      <c r="A234" s="613" t="s">
        <v>26</v>
      </c>
      <c r="B234" s="368" t="s">
        <v>62</v>
      </c>
      <c r="C234" s="194"/>
      <c r="D234" s="195">
        <v>65</v>
      </c>
      <c r="E234" s="195">
        <v>65</v>
      </c>
      <c r="F234" s="196"/>
      <c r="G234" s="196"/>
      <c r="H234" s="196"/>
      <c r="I234" s="196"/>
      <c r="J234" s="196"/>
      <c r="K234" s="196"/>
      <c r="L234" s="195">
        <v>65</v>
      </c>
      <c r="M234" s="196">
        <v>40.119999999999997</v>
      </c>
      <c r="N234" s="197">
        <f t="shared" ref="N234:N235" si="49">SUM(F234+H234+J234+L234)</f>
        <v>65</v>
      </c>
      <c r="O234" s="195">
        <f>SUM(G234+I234+K234+M234)</f>
        <v>40.119999999999997</v>
      </c>
    </row>
    <row r="235" spans="1:15" s="1" customFormat="1" ht="105.75" customHeight="1" x14ac:dyDescent="0.25">
      <c r="A235" s="614"/>
      <c r="B235" s="198" t="s">
        <v>208</v>
      </c>
      <c r="C235" s="198"/>
      <c r="D235" s="199">
        <v>65</v>
      </c>
      <c r="E235" s="199">
        <v>65</v>
      </c>
      <c r="F235" s="200"/>
      <c r="G235" s="200"/>
      <c r="H235" s="200"/>
      <c r="I235" s="200"/>
      <c r="J235" s="200"/>
      <c r="K235" s="200"/>
      <c r="L235" s="199">
        <v>65</v>
      </c>
      <c r="M235" s="200">
        <v>65</v>
      </c>
      <c r="N235" s="197">
        <f t="shared" si="49"/>
        <v>65</v>
      </c>
      <c r="O235" s="195">
        <f>SUM(G235+I235+K235+M235)</f>
        <v>65</v>
      </c>
    </row>
    <row r="236" spans="1:15" ht="54.75" customHeight="1" x14ac:dyDescent="0.2">
      <c r="A236" s="5" t="s">
        <v>12</v>
      </c>
      <c r="B236" s="34"/>
      <c r="C236" s="34"/>
      <c r="D236" s="6">
        <f t="shared" ref="D236:O236" si="50">SUM(D234+D235)</f>
        <v>130</v>
      </c>
      <c r="E236" s="6">
        <f t="shared" si="50"/>
        <v>130</v>
      </c>
      <c r="F236" s="6">
        <f t="shared" si="50"/>
        <v>0</v>
      </c>
      <c r="G236" s="6">
        <f t="shared" si="50"/>
        <v>0</v>
      </c>
      <c r="H236" s="6">
        <f t="shared" si="50"/>
        <v>0</v>
      </c>
      <c r="I236" s="6">
        <f t="shared" si="50"/>
        <v>0</v>
      </c>
      <c r="J236" s="6">
        <f t="shared" si="50"/>
        <v>0</v>
      </c>
      <c r="K236" s="6">
        <f t="shared" si="50"/>
        <v>0</v>
      </c>
      <c r="L236" s="6">
        <f t="shared" si="50"/>
        <v>130</v>
      </c>
      <c r="M236" s="6">
        <f t="shared" si="50"/>
        <v>105.12</v>
      </c>
      <c r="N236" s="6">
        <f t="shared" si="50"/>
        <v>130</v>
      </c>
      <c r="O236" s="6">
        <f t="shared" si="50"/>
        <v>105.12</v>
      </c>
    </row>
    <row r="237" spans="1:15" ht="35.25" customHeight="1" x14ac:dyDescent="0.2">
      <c r="A237" s="580"/>
      <c r="B237" s="20" t="s">
        <v>58</v>
      </c>
      <c r="C237" s="2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29"/>
    </row>
    <row r="238" spans="1:15" ht="36.75" customHeight="1" x14ac:dyDescent="0.2">
      <c r="A238" s="574"/>
      <c r="B238" s="20" t="s">
        <v>59</v>
      </c>
      <c r="C238" s="20"/>
      <c r="D238" s="6">
        <f t="shared" ref="D238:M238" si="51">SUM(D236+D237)</f>
        <v>130</v>
      </c>
      <c r="E238" s="6">
        <f t="shared" si="51"/>
        <v>130</v>
      </c>
      <c r="F238" s="6">
        <f t="shared" si="51"/>
        <v>0</v>
      </c>
      <c r="G238" s="6">
        <f t="shared" si="51"/>
        <v>0</v>
      </c>
      <c r="H238" s="6">
        <f t="shared" si="51"/>
        <v>0</v>
      </c>
      <c r="I238" s="6">
        <f t="shared" si="51"/>
        <v>0</v>
      </c>
      <c r="J238" s="6">
        <f t="shared" si="51"/>
        <v>0</v>
      </c>
      <c r="K238" s="6">
        <f t="shared" si="51"/>
        <v>0</v>
      </c>
      <c r="L238" s="6">
        <f t="shared" si="51"/>
        <v>130</v>
      </c>
      <c r="M238" s="6">
        <f t="shared" si="51"/>
        <v>105.12</v>
      </c>
      <c r="N238" s="6">
        <f>SUM(N236)</f>
        <v>130</v>
      </c>
      <c r="O238" s="6">
        <f>SUM(O236)</f>
        <v>105.12</v>
      </c>
    </row>
    <row r="239" spans="1:15" ht="39.75" customHeight="1" thickBot="1" x14ac:dyDescent="0.25">
      <c r="A239" s="575"/>
      <c r="B239" s="33" t="s">
        <v>60</v>
      </c>
      <c r="C239" s="7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130"/>
    </row>
    <row r="240" spans="1:15" ht="120" customHeight="1" x14ac:dyDescent="0.2">
      <c r="A240" s="315" t="s">
        <v>53</v>
      </c>
      <c r="B240" s="56" t="s">
        <v>54</v>
      </c>
      <c r="C240" s="56"/>
      <c r="D240" s="17">
        <v>3717.2</v>
      </c>
      <c r="E240" s="17">
        <v>3717.2</v>
      </c>
      <c r="F240" s="17">
        <v>846.6</v>
      </c>
      <c r="G240" s="17">
        <v>846.6</v>
      </c>
      <c r="H240" s="17">
        <v>923.6</v>
      </c>
      <c r="I240" s="17">
        <v>786.3</v>
      </c>
      <c r="J240" s="17">
        <v>923.5</v>
      </c>
      <c r="K240" s="17">
        <v>948.9</v>
      </c>
      <c r="L240" s="17">
        <v>1023.5</v>
      </c>
      <c r="M240" s="12">
        <v>1135.4000000000001</v>
      </c>
      <c r="N240" s="133">
        <f>SUM(F240+H240+J240+L240)</f>
        <v>3717.2</v>
      </c>
      <c r="O240" s="134">
        <f>SUM(G240+I240+K240+M240)</f>
        <v>3717.2000000000003</v>
      </c>
    </row>
    <row r="241" spans="1:15" s="1" customFormat="1" ht="46.5" customHeight="1" x14ac:dyDescent="0.2">
      <c r="A241" s="28" t="s">
        <v>2</v>
      </c>
      <c r="B241" s="37"/>
      <c r="C241" s="37"/>
      <c r="D241" s="31">
        <f t="shared" ref="D241:O241" si="52">SUM(D240+D236+D230)</f>
        <v>12429.2</v>
      </c>
      <c r="E241" s="31">
        <f t="shared" si="52"/>
        <v>12429.2</v>
      </c>
      <c r="F241" s="31">
        <f t="shared" si="52"/>
        <v>846.6</v>
      </c>
      <c r="G241" s="31">
        <f t="shared" si="52"/>
        <v>846.6</v>
      </c>
      <c r="H241" s="31">
        <f t="shared" si="52"/>
        <v>9505.6</v>
      </c>
      <c r="I241" s="31">
        <f t="shared" si="52"/>
        <v>9138.2999999999993</v>
      </c>
      <c r="J241" s="31">
        <f t="shared" si="52"/>
        <v>923.5</v>
      </c>
      <c r="K241" s="31">
        <f t="shared" si="52"/>
        <v>948.9</v>
      </c>
      <c r="L241" s="31">
        <f t="shared" si="52"/>
        <v>1153.5</v>
      </c>
      <c r="M241" s="31">
        <f t="shared" si="52"/>
        <v>1470.52</v>
      </c>
      <c r="N241" s="31">
        <f t="shared" si="52"/>
        <v>12429.2</v>
      </c>
      <c r="O241" s="31">
        <f t="shared" si="52"/>
        <v>12404.32</v>
      </c>
    </row>
    <row r="242" spans="1:15" s="1" customFormat="1" ht="31.5" customHeight="1" x14ac:dyDescent="0.2">
      <c r="A242" s="28"/>
      <c r="B242" s="39" t="s">
        <v>58</v>
      </c>
      <c r="C242" s="39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63"/>
    </row>
    <row r="243" spans="1:15" s="1" customFormat="1" ht="33.75" customHeight="1" x14ac:dyDescent="0.2">
      <c r="A243" s="28"/>
      <c r="B243" s="39" t="s">
        <v>59</v>
      </c>
      <c r="C243" s="39"/>
      <c r="D243" s="31">
        <f t="shared" ref="D243:O243" si="53">SUM(D240+D238+D232)</f>
        <v>12429.2</v>
      </c>
      <c r="E243" s="31">
        <f t="shared" si="53"/>
        <v>12429.2</v>
      </c>
      <c r="F243" s="31">
        <f t="shared" si="53"/>
        <v>846.6</v>
      </c>
      <c r="G243" s="31">
        <f t="shared" si="53"/>
        <v>846.6</v>
      </c>
      <c r="H243" s="31">
        <f t="shared" si="53"/>
        <v>9505.6</v>
      </c>
      <c r="I243" s="31">
        <f t="shared" si="53"/>
        <v>9138.2999999999993</v>
      </c>
      <c r="J243" s="31">
        <f t="shared" si="53"/>
        <v>923.5</v>
      </c>
      <c r="K243" s="31">
        <f t="shared" si="53"/>
        <v>948.9</v>
      </c>
      <c r="L243" s="31">
        <f t="shared" si="53"/>
        <v>1153.5</v>
      </c>
      <c r="M243" s="31">
        <f t="shared" si="53"/>
        <v>1470.52</v>
      </c>
      <c r="N243" s="31">
        <f t="shared" si="53"/>
        <v>12429.2</v>
      </c>
      <c r="O243" s="31">
        <f t="shared" si="53"/>
        <v>12404.32</v>
      </c>
    </row>
    <row r="244" spans="1:15" s="1" customFormat="1" ht="41.25" customHeight="1" x14ac:dyDescent="0.2">
      <c r="A244" s="216"/>
      <c r="B244" s="84" t="s">
        <v>60</v>
      </c>
      <c r="C244" s="84"/>
      <c r="D244" s="217">
        <f t="shared" ref="D244:N244" si="54">SUM(D239+D233)</f>
        <v>0</v>
      </c>
      <c r="E244" s="217">
        <f t="shared" si="54"/>
        <v>0</v>
      </c>
      <c r="F244" s="217">
        <f t="shared" si="54"/>
        <v>0</v>
      </c>
      <c r="G244" s="217">
        <f t="shared" si="54"/>
        <v>0</v>
      </c>
      <c r="H244" s="217">
        <f t="shared" si="54"/>
        <v>0</v>
      </c>
      <c r="I244" s="217">
        <f t="shared" si="54"/>
        <v>0</v>
      </c>
      <c r="J244" s="217">
        <f t="shared" si="54"/>
        <v>0</v>
      </c>
      <c r="K244" s="217">
        <f t="shared" si="54"/>
        <v>0</v>
      </c>
      <c r="L244" s="217">
        <f t="shared" si="54"/>
        <v>0</v>
      </c>
      <c r="M244" s="217">
        <f t="shared" si="54"/>
        <v>0</v>
      </c>
      <c r="N244" s="217">
        <f t="shared" si="54"/>
        <v>0</v>
      </c>
      <c r="O244" s="367">
        <f>SUM(O233)</f>
        <v>0</v>
      </c>
    </row>
    <row r="245" spans="1:15" s="1" customFormat="1" ht="27.75" customHeight="1" x14ac:dyDescent="0.25">
      <c r="A245" s="679" t="s">
        <v>27</v>
      </c>
      <c r="B245" s="676"/>
      <c r="C245" s="676"/>
      <c r="D245" s="676"/>
      <c r="E245" s="676"/>
      <c r="F245" s="676"/>
      <c r="G245" s="676"/>
      <c r="H245" s="676"/>
      <c r="I245" s="676"/>
      <c r="J245" s="676"/>
      <c r="K245" s="676"/>
      <c r="L245" s="676"/>
      <c r="M245" s="676"/>
      <c r="N245" s="677"/>
      <c r="O245" s="678"/>
    </row>
    <row r="246" spans="1:15" s="1" customFormat="1" ht="54.75" customHeight="1" x14ac:dyDescent="0.2">
      <c r="A246" s="372" t="s">
        <v>65</v>
      </c>
      <c r="B246" s="219" t="s">
        <v>78</v>
      </c>
      <c r="C246" s="271"/>
      <c r="D246" s="190">
        <v>3500</v>
      </c>
      <c r="E246" s="190">
        <v>3500</v>
      </c>
      <c r="F246" s="171">
        <v>555.79999999999995</v>
      </c>
      <c r="G246" s="171">
        <v>555.79999999999995</v>
      </c>
      <c r="H246" s="171">
        <v>981.4</v>
      </c>
      <c r="I246" s="300">
        <v>1271.5999999999999</v>
      </c>
      <c r="J246" s="171">
        <v>981.4</v>
      </c>
      <c r="K246" s="191">
        <v>619.79999999999995</v>
      </c>
      <c r="L246" s="232">
        <v>981.4</v>
      </c>
      <c r="M246" s="301">
        <v>1052.8</v>
      </c>
      <c r="N246" s="302">
        <f t="shared" ref="N246:O246" si="55">SUM(F246+H246+J246+L246)</f>
        <v>3500</v>
      </c>
      <c r="O246" s="302">
        <f t="shared" si="55"/>
        <v>3500</v>
      </c>
    </row>
    <row r="247" spans="1:15" ht="18" customHeight="1" x14ac:dyDescent="0.2">
      <c r="A247" s="336" t="s">
        <v>12</v>
      </c>
      <c r="B247" s="34"/>
      <c r="C247" s="34"/>
      <c r="D247" s="70">
        <f t="shared" ref="D247:O247" si="56">SUM(D246)</f>
        <v>3500</v>
      </c>
      <c r="E247" s="70">
        <f t="shared" si="56"/>
        <v>3500</v>
      </c>
      <c r="F247" s="70">
        <f t="shared" si="56"/>
        <v>555.79999999999995</v>
      </c>
      <c r="G247" s="70">
        <f t="shared" si="56"/>
        <v>555.79999999999995</v>
      </c>
      <c r="H247" s="70">
        <f t="shared" si="56"/>
        <v>981.4</v>
      </c>
      <c r="I247" s="70">
        <f t="shared" si="56"/>
        <v>1271.5999999999999</v>
      </c>
      <c r="J247" s="70">
        <f t="shared" si="56"/>
        <v>981.4</v>
      </c>
      <c r="K247" s="70">
        <f t="shared" si="56"/>
        <v>619.79999999999995</v>
      </c>
      <c r="L247" s="70">
        <f t="shared" si="56"/>
        <v>981.4</v>
      </c>
      <c r="M247" s="70">
        <f t="shared" si="56"/>
        <v>1052.8</v>
      </c>
      <c r="N247" s="70">
        <f t="shared" si="56"/>
        <v>3500</v>
      </c>
      <c r="O247" s="70">
        <f t="shared" si="56"/>
        <v>3500</v>
      </c>
    </row>
    <row r="248" spans="1:15" ht="26.25" customHeight="1" x14ac:dyDescent="0.2">
      <c r="A248" s="373"/>
      <c r="B248" s="20" t="s">
        <v>58</v>
      </c>
      <c r="C248" s="20"/>
      <c r="D248" s="70"/>
      <c r="E248" s="70"/>
      <c r="F248" s="71"/>
      <c r="G248" s="71"/>
      <c r="H248" s="71"/>
      <c r="I248" s="71"/>
      <c r="J248" s="72"/>
      <c r="K248" s="72"/>
      <c r="L248" s="73"/>
      <c r="M248" s="72"/>
      <c r="N248" s="74"/>
      <c r="O248" s="11"/>
    </row>
    <row r="249" spans="1:15" ht="37.5" customHeight="1" x14ac:dyDescent="0.2">
      <c r="A249" s="373"/>
      <c r="B249" s="20" t="s">
        <v>59</v>
      </c>
      <c r="C249" s="20"/>
      <c r="D249" s="70">
        <f t="shared" ref="D249:O249" si="57">SUM(D246)</f>
        <v>3500</v>
      </c>
      <c r="E249" s="70">
        <f t="shared" si="57"/>
        <v>3500</v>
      </c>
      <c r="F249" s="70">
        <f t="shared" si="57"/>
        <v>555.79999999999995</v>
      </c>
      <c r="G249" s="70">
        <f t="shared" si="57"/>
        <v>555.79999999999995</v>
      </c>
      <c r="H249" s="70">
        <f t="shared" si="57"/>
        <v>981.4</v>
      </c>
      <c r="I249" s="70">
        <f t="shared" si="57"/>
        <v>1271.5999999999999</v>
      </c>
      <c r="J249" s="70">
        <f t="shared" si="57"/>
        <v>981.4</v>
      </c>
      <c r="K249" s="70">
        <f t="shared" si="57"/>
        <v>619.79999999999995</v>
      </c>
      <c r="L249" s="70">
        <f t="shared" si="57"/>
        <v>981.4</v>
      </c>
      <c r="M249" s="70">
        <f t="shared" si="57"/>
        <v>1052.8</v>
      </c>
      <c r="N249" s="70">
        <f t="shared" si="57"/>
        <v>3500</v>
      </c>
      <c r="O249" s="70">
        <f t="shared" si="57"/>
        <v>3500</v>
      </c>
    </row>
    <row r="250" spans="1:15" ht="35.25" customHeight="1" thickBot="1" x14ac:dyDescent="0.25">
      <c r="A250" s="336"/>
      <c r="B250" s="33" t="s">
        <v>60</v>
      </c>
      <c r="C250" s="78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128"/>
    </row>
    <row r="251" spans="1:15" ht="54.75" customHeight="1" x14ac:dyDescent="0.2">
      <c r="A251" s="369" t="s">
        <v>28</v>
      </c>
      <c r="B251" s="185" t="s">
        <v>78</v>
      </c>
      <c r="C251" s="272"/>
      <c r="D251" s="186">
        <v>1475</v>
      </c>
      <c r="E251" s="186">
        <v>1475</v>
      </c>
      <c r="F251" s="187">
        <v>461.8</v>
      </c>
      <c r="G251" s="187">
        <v>461.8</v>
      </c>
      <c r="H251" s="187">
        <v>337.8</v>
      </c>
      <c r="I251" s="187">
        <v>452.5</v>
      </c>
      <c r="J251" s="187">
        <v>337.7</v>
      </c>
      <c r="K251" s="188">
        <v>251.9</v>
      </c>
      <c r="L251" s="187">
        <v>337.7</v>
      </c>
      <c r="M251" s="187">
        <v>308.7</v>
      </c>
      <c r="N251" s="189">
        <f t="shared" ref="N251:O251" si="58">SUM(F251+H251+J251+L251)</f>
        <v>1475</v>
      </c>
      <c r="O251" s="189">
        <f t="shared" si="58"/>
        <v>1474.9</v>
      </c>
    </row>
    <row r="252" spans="1:15" s="1" customFormat="1" ht="47.25" customHeight="1" x14ac:dyDescent="0.2">
      <c r="A252" s="5" t="s">
        <v>12</v>
      </c>
      <c r="B252" s="34"/>
      <c r="C252" s="34"/>
      <c r="D252" s="75">
        <f>SUM(D251)</f>
        <v>1475</v>
      </c>
      <c r="E252" s="75">
        <f t="shared" ref="E252:O252" si="59">SUM(E251)</f>
        <v>1475</v>
      </c>
      <c r="F252" s="75">
        <f t="shared" si="59"/>
        <v>461.8</v>
      </c>
      <c r="G252" s="75">
        <f t="shared" si="59"/>
        <v>461.8</v>
      </c>
      <c r="H252" s="75">
        <f t="shared" si="59"/>
        <v>337.8</v>
      </c>
      <c r="I252" s="75">
        <f t="shared" si="59"/>
        <v>452.5</v>
      </c>
      <c r="J252" s="75">
        <f t="shared" si="59"/>
        <v>337.7</v>
      </c>
      <c r="K252" s="75">
        <v>3</v>
      </c>
      <c r="L252" s="75">
        <f t="shared" si="59"/>
        <v>337.7</v>
      </c>
      <c r="M252" s="75">
        <f t="shared" si="59"/>
        <v>308.7</v>
      </c>
      <c r="N252" s="75">
        <f t="shared" si="59"/>
        <v>1475</v>
      </c>
      <c r="O252" s="75">
        <f t="shared" si="59"/>
        <v>1474.9</v>
      </c>
    </row>
    <row r="253" spans="1:15" ht="27.75" customHeight="1" x14ac:dyDescent="0.2">
      <c r="A253" s="580"/>
      <c r="B253" s="20" t="s">
        <v>58</v>
      </c>
      <c r="C253" s="20"/>
      <c r="D253" s="75"/>
      <c r="E253" s="75"/>
      <c r="F253" s="75"/>
      <c r="G253" s="75"/>
      <c r="H253" s="75"/>
      <c r="I253" s="75"/>
      <c r="J253" s="76"/>
      <c r="K253" s="76"/>
      <c r="L253" s="76"/>
      <c r="M253" s="72"/>
      <c r="N253" s="77"/>
      <c r="O253" s="11"/>
    </row>
    <row r="254" spans="1:15" ht="21" customHeight="1" x14ac:dyDescent="0.2">
      <c r="A254" s="574"/>
      <c r="B254" s="20" t="s">
        <v>59</v>
      </c>
      <c r="C254" s="20"/>
      <c r="D254" s="75">
        <f t="shared" ref="D254:O254" si="60">SUM(D251)</f>
        <v>1475</v>
      </c>
      <c r="E254" s="75">
        <f t="shared" si="60"/>
        <v>1475</v>
      </c>
      <c r="F254" s="75">
        <f t="shared" si="60"/>
        <v>461.8</v>
      </c>
      <c r="G254" s="75">
        <f t="shared" si="60"/>
        <v>461.8</v>
      </c>
      <c r="H254" s="75">
        <f t="shared" si="60"/>
        <v>337.8</v>
      </c>
      <c r="I254" s="75">
        <f t="shared" si="60"/>
        <v>452.5</v>
      </c>
      <c r="J254" s="75">
        <f t="shared" si="60"/>
        <v>337.7</v>
      </c>
      <c r="K254" s="75">
        <f t="shared" si="60"/>
        <v>251.9</v>
      </c>
      <c r="L254" s="75">
        <f t="shared" si="60"/>
        <v>337.7</v>
      </c>
      <c r="M254" s="75">
        <f t="shared" si="60"/>
        <v>308.7</v>
      </c>
      <c r="N254" s="75">
        <f t="shared" si="60"/>
        <v>1475</v>
      </c>
      <c r="O254" s="75">
        <f t="shared" si="60"/>
        <v>1474.9</v>
      </c>
    </row>
    <row r="255" spans="1:15" ht="31.5" x14ac:dyDescent="0.2">
      <c r="A255" s="574"/>
      <c r="B255" s="78" t="s">
        <v>60</v>
      </c>
      <c r="C255" s="78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8"/>
    </row>
    <row r="256" spans="1:15" ht="18.75" x14ac:dyDescent="0.2">
      <c r="A256" s="26" t="s">
        <v>2</v>
      </c>
      <c r="B256" s="37"/>
      <c r="C256" s="37"/>
      <c r="D256" s="31">
        <f t="shared" ref="D256:O256" si="61">SUM(D252+D247)</f>
        <v>4975</v>
      </c>
      <c r="E256" s="31">
        <f t="shared" si="61"/>
        <v>4975</v>
      </c>
      <c r="F256" s="31">
        <f t="shared" si="61"/>
        <v>1017.5999999999999</v>
      </c>
      <c r="G256" s="31">
        <f t="shared" si="61"/>
        <v>1017.5999999999999</v>
      </c>
      <c r="H256" s="31">
        <f t="shared" si="61"/>
        <v>1319.2</v>
      </c>
      <c r="I256" s="31">
        <f t="shared" si="61"/>
        <v>1724.1</v>
      </c>
      <c r="J256" s="31">
        <f t="shared" si="61"/>
        <v>1319.1</v>
      </c>
      <c r="K256" s="31">
        <f t="shared" si="61"/>
        <v>622.79999999999995</v>
      </c>
      <c r="L256" s="31">
        <f t="shared" si="61"/>
        <v>1319.1</v>
      </c>
      <c r="M256" s="31">
        <f t="shared" si="61"/>
        <v>1361.5</v>
      </c>
      <c r="N256" s="31">
        <f t="shared" si="61"/>
        <v>4975</v>
      </c>
      <c r="O256" s="31">
        <f t="shared" si="61"/>
        <v>4974.8999999999996</v>
      </c>
    </row>
    <row r="257" spans="1:15" s="1" customFormat="1" ht="32.25" customHeight="1" x14ac:dyDescent="0.2">
      <c r="A257" s="79"/>
      <c r="B257" s="39" t="s">
        <v>58</v>
      </c>
      <c r="C257" s="3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63"/>
    </row>
    <row r="258" spans="1:15" s="1" customFormat="1" ht="32.25" customHeight="1" x14ac:dyDescent="0.2">
      <c r="A258" s="79"/>
      <c r="B258" s="39" t="s">
        <v>59</v>
      </c>
      <c r="C258" s="39"/>
      <c r="D258" s="31">
        <f t="shared" ref="D258:O258" si="62">SUM(D254+D249)</f>
        <v>4975</v>
      </c>
      <c r="E258" s="31">
        <f t="shared" si="62"/>
        <v>4975</v>
      </c>
      <c r="F258" s="31">
        <f t="shared" si="62"/>
        <v>1017.5999999999999</v>
      </c>
      <c r="G258" s="31">
        <f t="shared" si="62"/>
        <v>1017.5999999999999</v>
      </c>
      <c r="H258" s="31">
        <f t="shared" si="62"/>
        <v>1319.2</v>
      </c>
      <c r="I258" s="31">
        <f t="shared" si="62"/>
        <v>1724.1</v>
      </c>
      <c r="J258" s="31">
        <f t="shared" si="62"/>
        <v>1319.1</v>
      </c>
      <c r="K258" s="31">
        <f t="shared" si="62"/>
        <v>871.69999999999993</v>
      </c>
      <c r="L258" s="31">
        <f t="shared" si="62"/>
        <v>1319.1</v>
      </c>
      <c r="M258" s="31">
        <f t="shared" si="62"/>
        <v>1361.5</v>
      </c>
      <c r="N258" s="31">
        <f t="shared" si="62"/>
        <v>4975</v>
      </c>
      <c r="O258" s="31">
        <f t="shared" si="62"/>
        <v>4974.8999999999996</v>
      </c>
    </row>
    <row r="259" spans="1:15" s="1" customFormat="1" ht="32.25" customHeight="1" x14ac:dyDescent="0.2">
      <c r="A259" s="26"/>
      <c r="B259" s="84" t="s">
        <v>60</v>
      </c>
      <c r="C259" s="264"/>
      <c r="D259" s="27">
        <f t="shared" ref="D259:M259" si="63">SUM(D255+D250)</f>
        <v>0</v>
      </c>
      <c r="E259" s="27">
        <f t="shared" si="63"/>
        <v>0</v>
      </c>
      <c r="F259" s="27">
        <f t="shared" si="63"/>
        <v>0</v>
      </c>
      <c r="G259" s="27">
        <f t="shared" si="63"/>
        <v>0</v>
      </c>
      <c r="H259" s="27">
        <f t="shared" si="63"/>
        <v>0</v>
      </c>
      <c r="I259" s="27">
        <f t="shared" si="63"/>
        <v>0</v>
      </c>
      <c r="J259" s="27">
        <f t="shared" si="63"/>
        <v>0</v>
      </c>
      <c r="K259" s="27">
        <f t="shared" si="63"/>
        <v>0</v>
      </c>
      <c r="L259" s="27">
        <f t="shared" si="63"/>
        <v>0</v>
      </c>
      <c r="M259" s="27">
        <f t="shared" si="63"/>
        <v>0</v>
      </c>
      <c r="N259" s="217"/>
      <c r="O259" s="218"/>
    </row>
    <row r="260" spans="1:15" s="1" customFormat="1" ht="32.25" customHeight="1" x14ac:dyDescent="0.25">
      <c r="A260" s="675" t="s">
        <v>29</v>
      </c>
      <c r="B260" s="676"/>
      <c r="C260" s="676"/>
      <c r="D260" s="676"/>
      <c r="E260" s="676"/>
      <c r="F260" s="676"/>
      <c r="G260" s="676"/>
      <c r="H260" s="676"/>
      <c r="I260" s="676"/>
      <c r="J260" s="676"/>
      <c r="K260" s="676"/>
      <c r="L260" s="676"/>
      <c r="M260" s="676"/>
      <c r="N260" s="677"/>
      <c r="O260" s="678"/>
    </row>
    <row r="261" spans="1:15" s="1" customFormat="1" ht="58.5" customHeight="1" x14ac:dyDescent="0.2">
      <c r="A261" s="680" t="s">
        <v>176</v>
      </c>
      <c r="B261" s="469" t="s">
        <v>137</v>
      </c>
      <c r="C261" s="335"/>
      <c r="D261" s="375">
        <v>803</v>
      </c>
      <c r="E261" s="375">
        <v>803</v>
      </c>
      <c r="F261" s="335"/>
      <c r="G261" s="335"/>
      <c r="H261" s="380">
        <v>667.7</v>
      </c>
      <c r="I261" s="380">
        <v>667.7</v>
      </c>
      <c r="J261" s="335"/>
      <c r="K261" s="335"/>
      <c r="L261" s="375">
        <v>135.30000000000001</v>
      </c>
      <c r="M261" s="335"/>
      <c r="N261" s="376">
        <f>SUM(F261+H261+J261+L261)</f>
        <v>803</v>
      </c>
      <c r="O261" s="376">
        <f>SUM(G261+I261+K261+K261+M261)</f>
        <v>667.7</v>
      </c>
    </row>
    <row r="262" spans="1:15" s="1" customFormat="1" ht="32.25" customHeight="1" x14ac:dyDescent="0.25">
      <c r="A262" s="681"/>
      <c r="B262" s="470" t="s">
        <v>58</v>
      </c>
      <c r="C262" s="335"/>
      <c r="D262" s="335"/>
      <c r="E262" s="335"/>
      <c r="F262" s="335"/>
      <c r="G262" s="335"/>
      <c r="H262" s="380"/>
      <c r="I262" s="380"/>
      <c r="J262" s="335"/>
      <c r="K262" s="335"/>
      <c r="L262" s="335"/>
      <c r="M262" s="335"/>
      <c r="N262" s="494"/>
      <c r="O262" s="494"/>
    </row>
    <row r="263" spans="1:15" s="1" customFormat="1" ht="32.25" customHeight="1" x14ac:dyDescent="0.2">
      <c r="A263" s="681"/>
      <c r="B263" s="470" t="s">
        <v>59</v>
      </c>
      <c r="C263" s="335"/>
      <c r="D263" s="375">
        <v>803</v>
      </c>
      <c r="E263" s="375">
        <v>803</v>
      </c>
      <c r="F263" s="335"/>
      <c r="G263" s="335"/>
      <c r="H263" s="380">
        <v>667.7</v>
      </c>
      <c r="I263" s="380">
        <v>667.7</v>
      </c>
      <c r="J263" s="335"/>
      <c r="K263" s="335"/>
      <c r="L263" s="375">
        <v>135.30000000000001</v>
      </c>
      <c r="M263" s="335"/>
      <c r="N263" s="376">
        <f>SUM(F263+H263+J263+L263)</f>
        <v>803</v>
      </c>
      <c r="O263" s="376">
        <f>SUM(G263+I263+K263+K263+M263)</f>
        <v>667.7</v>
      </c>
    </row>
    <row r="264" spans="1:15" s="1" customFormat="1" ht="32.25" customHeight="1" x14ac:dyDescent="0.25">
      <c r="A264" s="681"/>
      <c r="B264" s="470" t="s">
        <v>60</v>
      </c>
      <c r="C264" s="335"/>
      <c r="D264" s="335"/>
      <c r="E264" s="335"/>
      <c r="F264" s="335"/>
      <c r="G264" s="335"/>
      <c r="H264" s="335"/>
      <c r="I264" s="335"/>
      <c r="J264" s="335"/>
      <c r="K264" s="335"/>
      <c r="L264" s="335"/>
      <c r="M264" s="335"/>
      <c r="N264" s="494"/>
      <c r="O264" s="494"/>
    </row>
    <row r="265" spans="1:15" s="1" customFormat="1" ht="100.5" customHeight="1" x14ac:dyDescent="0.2">
      <c r="A265" s="681"/>
      <c r="B265" s="470" t="s">
        <v>138</v>
      </c>
      <c r="C265" s="335"/>
      <c r="D265" s="476">
        <v>3785.4</v>
      </c>
      <c r="E265" s="476">
        <v>3785.4</v>
      </c>
      <c r="F265" s="477">
        <v>1255.8</v>
      </c>
      <c r="G265" s="477">
        <v>1255.8</v>
      </c>
      <c r="H265" s="477">
        <v>1714.2</v>
      </c>
      <c r="I265" s="477">
        <v>368.9</v>
      </c>
      <c r="J265" s="477">
        <v>815.4</v>
      </c>
      <c r="K265" s="477">
        <v>965.7</v>
      </c>
      <c r="L265" s="477"/>
      <c r="M265" s="477">
        <v>1194.5</v>
      </c>
      <c r="N265" s="478">
        <f>SUM(F265+H265+J265+L265)</f>
        <v>3785.4</v>
      </c>
      <c r="O265" s="479">
        <f>SUM(G265+I265+K265+M265)</f>
        <v>3784.8999999999996</v>
      </c>
    </row>
    <row r="266" spans="1:15" s="1" customFormat="1" ht="26.25" customHeight="1" x14ac:dyDescent="0.2">
      <c r="A266" s="681"/>
      <c r="B266" s="470" t="s">
        <v>58</v>
      </c>
      <c r="C266" s="335"/>
      <c r="D266" s="480"/>
      <c r="E266" s="480"/>
      <c r="F266" s="480"/>
      <c r="G266" s="480"/>
      <c r="H266" s="480"/>
      <c r="I266" s="480"/>
      <c r="J266" s="480"/>
      <c r="K266" s="480"/>
      <c r="L266" s="480"/>
      <c r="M266" s="480"/>
      <c r="N266" s="481"/>
      <c r="O266" s="481"/>
    </row>
    <row r="267" spans="1:15" s="1" customFormat="1" ht="32.25" customHeight="1" x14ac:dyDescent="0.2">
      <c r="A267" s="681"/>
      <c r="B267" s="470" t="s">
        <v>59</v>
      </c>
      <c r="C267" s="335"/>
      <c r="D267" s="476">
        <v>3785.4</v>
      </c>
      <c r="E267" s="476">
        <v>3785.4</v>
      </c>
      <c r="F267" s="477">
        <v>1255.8</v>
      </c>
      <c r="G267" s="477">
        <v>1255.8</v>
      </c>
      <c r="H267" s="477">
        <v>1714.2</v>
      </c>
      <c r="I267" s="477">
        <v>368.9</v>
      </c>
      <c r="J267" s="477">
        <v>815.4</v>
      </c>
      <c r="K267" s="477">
        <v>965.7</v>
      </c>
      <c r="L267" s="477"/>
      <c r="M267" s="477">
        <v>1194.5</v>
      </c>
      <c r="N267" s="478">
        <f>SUM(F267+H267+J267+L267)</f>
        <v>3785.4</v>
      </c>
      <c r="O267" s="479">
        <f>SUM(G267+I267+K267+M267)</f>
        <v>3784.8999999999996</v>
      </c>
    </row>
    <row r="268" spans="1:15" s="1" customFormat="1" ht="32.25" customHeight="1" x14ac:dyDescent="0.25">
      <c r="A268" s="681"/>
      <c r="B268" s="470" t="s">
        <v>60</v>
      </c>
      <c r="C268" s="335"/>
      <c r="D268" s="335"/>
      <c r="E268" s="335"/>
      <c r="F268" s="335"/>
      <c r="G268" s="335"/>
      <c r="H268" s="335"/>
      <c r="I268" s="335"/>
      <c r="J268" s="335"/>
      <c r="K268" s="335"/>
      <c r="L268" s="335"/>
      <c r="M268" s="335"/>
      <c r="N268" s="563"/>
      <c r="O268" s="563"/>
    </row>
    <row r="269" spans="1:15" s="1" customFormat="1" ht="66" customHeight="1" x14ac:dyDescent="0.2">
      <c r="A269" s="681"/>
      <c r="B269" s="471" t="s">
        <v>85</v>
      </c>
      <c r="C269" s="379"/>
      <c r="D269" s="375">
        <v>8315</v>
      </c>
      <c r="E269" s="375">
        <v>8315</v>
      </c>
      <c r="F269" s="380">
        <v>2590.1</v>
      </c>
      <c r="G269" s="380">
        <v>2590.1</v>
      </c>
      <c r="H269" s="375">
        <v>2590</v>
      </c>
      <c r="I269" s="380">
        <v>2590.1</v>
      </c>
      <c r="J269" s="375">
        <v>2590</v>
      </c>
      <c r="K269" s="380">
        <v>2590.1999999999998</v>
      </c>
      <c r="L269" s="375">
        <v>544.9</v>
      </c>
      <c r="M269" s="380">
        <v>460.3</v>
      </c>
      <c r="N269" s="377">
        <f>SUM(F269+H269+J269+L269)</f>
        <v>8315</v>
      </c>
      <c r="O269" s="376">
        <f>SUM(G269+I269+K269+M269)</f>
        <v>8230.6999999999989</v>
      </c>
    </row>
    <row r="270" spans="1:15" s="1" customFormat="1" ht="32.25" customHeight="1" x14ac:dyDescent="0.25">
      <c r="A270" s="681"/>
      <c r="B270" s="472" t="s">
        <v>58</v>
      </c>
      <c r="C270" s="379"/>
      <c r="D270" s="380"/>
      <c r="E270" s="380"/>
      <c r="F270" s="380"/>
      <c r="G270" s="380"/>
      <c r="H270" s="380"/>
      <c r="I270" s="380"/>
      <c r="J270" s="380"/>
      <c r="K270" s="380"/>
      <c r="L270" s="380"/>
      <c r="M270" s="380"/>
      <c r="N270" s="381"/>
      <c r="O270" s="381"/>
    </row>
    <row r="271" spans="1:15" s="1" customFormat="1" ht="32.25" customHeight="1" x14ac:dyDescent="0.2">
      <c r="A271" s="681"/>
      <c r="B271" s="472" t="s">
        <v>59</v>
      </c>
      <c r="C271" s="379"/>
      <c r="D271" s="375">
        <v>8315</v>
      </c>
      <c r="E271" s="375">
        <v>8315</v>
      </c>
      <c r="F271" s="380">
        <v>2590.1</v>
      </c>
      <c r="G271" s="380">
        <v>2590.1</v>
      </c>
      <c r="H271" s="375">
        <v>2590</v>
      </c>
      <c r="I271" s="380">
        <v>2590.1</v>
      </c>
      <c r="J271" s="375">
        <v>2590</v>
      </c>
      <c r="K271" s="380">
        <v>2590.1999999999998</v>
      </c>
      <c r="L271" s="375">
        <v>544.9</v>
      </c>
      <c r="M271" s="380">
        <v>460.3</v>
      </c>
      <c r="N271" s="377">
        <f>SUM(F271+H271+J271+L271)</f>
        <v>8315</v>
      </c>
      <c r="O271" s="376">
        <f>SUM(G271+I271+K271+M271)</f>
        <v>8230.6999999999989</v>
      </c>
    </row>
    <row r="272" spans="1:15" s="1" customFormat="1" ht="32.25" customHeight="1" x14ac:dyDescent="0.25">
      <c r="A272" s="681"/>
      <c r="B272" s="472" t="s">
        <v>60</v>
      </c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  <c r="M272" s="379"/>
      <c r="N272" s="382"/>
      <c r="O272" s="382"/>
    </row>
    <row r="273" spans="1:15" s="433" customFormat="1" ht="32.25" customHeight="1" x14ac:dyDescent="0.2">
      <c r="A273" s="681"/>
      <c r="B273" s="472" t="s">
        <v>177</v>
      </c>
      <c r="C273" s="379"/>
      <c r="D273" s="380">
        <v>10005.6</v>
      </c>
      <c r="E273" s="380">
        <v>10005.6</v>
      </c>
      <c r="F273" s="379"/>
      <c r="G273" s="379"/>
      <c r="H273" s="379"/>
      <c r="I273" s="379"/>
      <c r="J273" s="380">
        <v>10005.6</v>
      </c>
      <c r="K273" s="380">
        <v>10005.6</v>
      </c>
      <c r="L273" s="380"/>
      <c r="M273" s="379"/>
      <c r="N273" s="377">
        <f>SUM(F273+H273+J273+L273)</f>
        <v>10005.6</v>
      </c>
      <c r="O273" s="376">
        <f>SUM(G273+I273+K273+M273)</f>
        <v>10005.6</v>
      </c>
    </row>
    <row r="274" spans="1:15" s="433" customFormat="1" ht="32.25" customHeight="1" x14ac:dyDescent="0.25">
      <c r="A274" s="681"/>
      <c r="B274" s="470" t="s">
        <v>58</v>
      </c>
      <c r="C274" s="379"/>
      <c r="D274" s="380"/>
      <c r="E274" s="380"/>
      <c r="F274" s="379"/>
      <c r="G274" s="379"/>
      <c r="H274" s="379"/>
      <c r="I274" s="379"/>
      <c r="J274" s="379"/>
      <c r="K274" s="379"/>
      <c r="L274" s="379"/>
      <c r="M274" s="379"/>
      <c r="N274" s="482"/>
      <c r="O274" s="382"/>
    </row>
    <row r="275" spans="1:15" s="433" customFormat="1" ht="32.25" customHeight="1" x14ac:dyDescent="0.2">
      <c r="A275" s="681"/>
      <c r="B275" s="470" t="s">
        <v>59</v>
      </c>
      <c r="C275" s="379"/>
      <c r="D275" s="380">
        <v>10005.6</v>
      </c>
      <c r="E275" s="380">
        <v>10005.6</v>
      </c>
      <c r="F275" s="379"/>
      <c r="G275" s="379"/>
      <c r="H275" s="379"/>
      <c r="I275" s="379"/>
      <c r="J275" s="380">
        <v>10005.6</v>
      </c>
      <c r="K275" s="380">
        <v>10005.6</v>
      </c>
      <c r="L275" s="380"/>
      <c r="M275" s="379"/>
      <c r="N275" s="377">
        <f>SUM(F275+H275+J275+L275)</f>
        <v>10005.6</v>
      </c>
      <c r="O275" s="376">
        <f>SUM(G275+I275+K275+M275)</f>
        <v>10005.6</v>
      </c>
    </row>
    <row r="276" spans="1:15" s="433" customFormat="1" ht="32.25" customHeight="1" thickBot="1" x14ac:dyDescent="0.3">
      <c r="A276" s="681"/>
      <c r="B276" s="474" t="s">
        <v>60</v>
      </c>
      <c r="C276" s="379"/>
      <c r="D276" s="379"/>
      <c r="E276" s="379"/>
      <c r="F276" s="379"/>
      <c r="G276" s="379"/>
      <c r="H276" s="379"/>
      <c r="I276" s="379"/>
      <c r="J276" s="379"/>
      <c r="K276" s="379"/>
      <c r="L276" s="380"/>
      <c r="M276" s="379"/>
      <c r="N276" s="482"/>
      <c r="O276" s="382"/>
    </row>
    <row r="277" spans="1:15" ht="59.25" customHeight="1" x14ac:dyDescent="0.2">
      <c r="A277" s="681"/>
      <c r="B277" s="473" t="s">
        <v>51</v>
      </c>
      <c r="C277" s="221"/>
      <c r="D277" s="339">
        <v>10360.469999999999</v>
      </c>
      <c r="E277" s="339">
        <v>10360.469999999999</v>
      </c>
      <c r="F277" s="339">
        <v>1731.4</v>
      </c>
      <c r="G277" s="339">
        <v>1731.3</v>
      </c>
      <c r="H277" s="339">
        <v>1958.6</v>
      </c>
      <c r="I277" s="339">
        <v>1921.8</v>
      </c>
      <c r="J277" s="339">
        <v>1958.6</v>
      </c>
      <c r="K277" s="339">
        <v>2421.6</v>
      </c>
      <c r="L277" s="339">
        <v>4711.8999999999996</v>
      </c>
      <c r="M277" s="220">
        <v>4285.8</v>
      </c>
      <c r="N277" s="378">
        <f>F277+H277+J277+L277</f>
        <v>10360.5</v>
      </c>
      <c r="O277" s="341">
        <f>SUM(G277+I277+K277+M277)</f>
        <v>10360.5</v>
      </c>
    </row>
    <row r="278" spans="1:15" ht="28.5" customHeight="1" x14ac:dyDescent="0.2">
      <c r="A278" s="681"/>
      <c r="B278" s="470" t="s">
        <v>58</v>
      </c>
      <c r="C278" s="338"/>
      <c r="D278" s="339"/>
      <c r="E278" s="339"/>
      <c r="F278" s="339"/>
      <c r="G278" s="339"/>
      <c r="H278" s="339"/>
      <c r="I278" s="339"/>
      <c r="J278" s="339"/>
      <c r="K278" s="339"/>
      <c r="L278" s="340"/>
      <c r="M278" s="341"/>
      <c r="N278" s="378"/>
      <c r="O278" s="341"/>
    </row>
    <row r="279" spans="1:15" ht="35.25" customHeight="1" x14ac:dyDescent="0.2">
      <c r="A279" s="681"/>
      <c r="B279" s="470" t="s">
        <v>59</v>
      </c>
      <c r="C279" s="338"/>
      <c r="D279" s="339">
        <v>10360.469999999999</v>
      </c>
      <c r="E279" s="339">
        <v>10360.469999999999</v>
      </c>
      <c r="F279" s="339">
        <v>1731.4</v>
      </c>
      <c r="G279" s="339">
        <v>1731.3</v>
      </c>
      <c r="H279" s="339">
        <v>1958.6</v>
      </c>
      <c r="I279" s="339">
        <v>1921.8</v>
      </c>
      <c r="J279" s="339">
        <v>1958.6</v>
      </c>
      <c r="K279" s="339">
        <v>2421.6</v>
      </c>
      <c r="L279" s="339">
        <v>4711.8999999999996</v>
      </c>
      <c r="M279" s="220">
        <v>4285.8</v>
      </c>
      <c r="N279" s="378">
        <f>F279+H279+J279+L279</f>
        <v>10360.5</v>
      </c>
      <c r="O279" s="341">
        <f>SUM(G279+I279+K279+M279)</f>
        <v>10360.5</v>
      </c>
    </row>
    <row r="280" spans="1:15" ht="39.75" customHeight="1" thickBot="1" x14ac:dyDescent="0.25">
      <c r="A280" s="682"/>
      <c r="B280" s="474" t="s">
        <v>60</v>
      </c>
      <c r="C280" s="345"/>
      <c r="D280" s="342"/>
      <c r="E280" s="342"/>
      <c r="F280" s="342"/>
      <c r="G280" s="342"/>
      <c r="H280" s="342"/>
      <c r="I280" s="342"/>
      <c r="J280" s="342"/>
      <c r="K280" s="342"/>
      <c r="L280" s="343"/>
      <c r="M280" s="344"/>
      <c r="N280" s="337"/>
      <c r="O280" s="341"/>
    </row>
    <row r="281" spans="1:15" ht="39.75" customHeight="1" x14ac:dyDescent="0.2">
      <c r="A281" s="475" t="s">
        <v>12</v>
      </c>
      <c r="B281" s="32"/>
      <c r="C281" s="273"/>
      <c r="D281" s="101">
        <f t="shared" ref="D281:O281" si="64">SUM(D277+D269+D265+D261+D273)</f>
        <v>33269.47</v>
      </c>
      <c r="E281" s="101">
        <f t="shared" si="64"/>
        <v>33269.47</v>
      </c>
      <c r="F281" s="101">
        <f t="shared" si="64"/>
        <v>5577.3</v>
      </c>
      <c r="G281" s="101">
        <f t="shared" si="64"/>
        <v>5577.2</v>
      </c>
      <c r="H281" s="101">
        <f t="shared" si="64"/>
        <v>6930.5</v>
      </c>
      <c r="I281" s="101">
        <f t="shared" si="64"/>
        <v>5548.4999999999991</v>
      </c>
      <c r="J281" s="101">
        <f t="shared" si="64"/>
        <v>15369.6</v>
      </c>
      <c r="K281" s="101">
        <f t="shared" si="64"/>
        <v>15983.099999999999</v>
      </c>
      <c r="L281" s="101">
        <f t="shared" si="64"/>
        <v>5392.0999999999995</v>
      </c>
      <c r="M281" s="101">
        <f t="shared" si="64"/>
        <v>5940.6</v>
      </c>
      <c r="N281" s="25">
        <f t="shared" si="64"/>
        <v>33269.5</v>
      </c>
      <c r="O281" s="25">
        <f t="shared" si="64"/>
        <v>33049.4</v>
      </c>
    </row>
    <row r="282" spans="1:15" ht="27" customHeight="1" x14ac:dyDescent="0.2">
      <c r="A282" s="93"/>
      <c r="B282" s="20" t="s">
        <v>58</v>
      </c>
      <c r="C282" s="20"/>
      <c r="D282" s="25"/>
      <c r="E282" s="25"/>
      <c r="F282" s="25"/>
      <c r="G282" s="25"/>
      <c r="H282" s="25"/>
      <c r="I282" s="25"/>
      <c r="J282" s="25"/>
      <c r="K282" s="25"/>
      <c r="L282" s="88"/>
      <c r="M282" s="89"/>
      <c r="N282" s="127"/>
      <c r="O282" s="123"/>
    </row>
    <row r="283" spans="1:15" ht="38.25" customHeight="1" x14ac:dyDescent="0.2">
      <c r="A283" s="93"/>
      <c r="B283" s="20" t="s">
        <v>59</v>
      </c>
      <c r="C283" s="20"/>
      <c r="D283" s="101">
        <f t="shared" ref="D283:L283" si="65">SUM(D279+D271+D267+D263+D275)</f>
        <v>33269.47</v>
      </c>
      <c r="E283" s="101">
        <f t="shared" si="65"/>
        <v>33269.47</v>
      </c>
      <c r="F283" s="101">
        <f t="shared" si="65"/>
        <v>5577.3</v>
      </c>
      <c r="G283" s="101">
        <f t="shared" si="65"/>
        <v>5577.2</v>
      </c>
      <c r="H283" s="101">
        <f t="shared" si="65"/>
        <v>6930.5</v>
      </c>
      <c r="I283" s="101">
        <f t="shared" si="65"/>
        <v>5548.4999999999991</v>
      </c>
      <c r="J283" s="101">
        <f t="shared" si="65"/>
        <v>15369.6</v>
      </c>
      <c r="K283" s="101">
        <f t="shared" si="65"/>
        <v>15983.099999999999</v>
      </c>
      <c r="L283" s="101">
        <f t="shared" si="65"/>
        <v>5392.0999999999995</v>
      </c>
      <c r="M283" s="101">
        <f>SUM(M279+M271+M267+M263)</f>
        <v>5940.6</v>
      </c>
      <c r="N283" s="101">
        <f>SUM(N279+N271+N267+N263+N275)</f>
        <v>33269.5</v>
      </c>
      <c r="O283" s="25">
        <f>SUM(O279+O271+O267+O263+O275)</f>
        <v>33049.4</v>
      </c>
    </row>
    <row r="284" spans="1:15" ht="30.75" customHeight="1" thickBot="1" x14ac:dyDescent="0.25">
      <c r="A284" s="94"/>
      <c r="B284" s="33" t="s">
        <v>60</v>
      </c>
      <c r="C284" s="33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238"/>
    </row>
    <row r="285" spans="1:15" ht="50.25" customHeight="1" x14ac:dyDescent="0.2">
      <c r="A285" s="602" t="s">
        <v>30</v>
      </c>
      <c r="B285" s="159" t="s">
        <v>88</v>
      </c>
      <c r="C285" s="159"/>
      <c r="D285" s="183">
        <v>232.8</v>
      </c>
      <c r="E285" s="214">
        <v>232.8</v>
      </c>
      <c r="F285" s="183">
        <v>8.4</v>
      </c>
      <c r="G285" s="214">
        <v>8.3000000000000007</v>
      </c>
      <c r="H285" s="214">
        <v>74.8</v>
      </c>
      <c r="I285" s="214">
        <v>141.1</v>
      </c>
      <c r="J285" s="214">
        <v>74.8</v>
      </c>
      <c r="K285" s="214">
        <v>46.7</v>
      </c>
      <c r="L285" s="214">
        <v>74.8</v>
      </c>
      <c r="M285" s="184">
        <v>28.38</v>
      </c>
      <c r="N285" s="181">
        <f>SUM(F285+H285+J285+L285)</f>
        <v>232.8</v>
      </c>
      <c r="O285" s="215">
        <f>SUM(G285+I285+K285+M285)</f>
        <v>224.48000000000002</v>
      </c>
    </row>
    <row r="286" spans="1:15" ht="21" customHeight="1" x14ac:dyDescent="0.2">
      <c r="A286" s="599"/>
      <c r="B286" s="159" t="s">
        <v>58</v>
      </c>
      <c r="C286" s="159"/>
      <c r="D286" s="183"/>
      <c r="E286" s="214"/>
      <c r="F286" s="183"/>
      <c r="G286" s="183"/>
      <c r="H286" s="214"/>
      <c r="I286" s="214"/>
      <c r="J286" s="214"/>
      <c r="K286" s="183"/>
      <c r="L286" s="214"/>
      <c r="M286" s="184"/>
      <c r="N286" s="182"/>
      <c r="O286" s="215"/>
    </row>
    <row r="287" spans="1:15" ht="30" customHeight="1" x14ac:dyDescent="0.2">
      <c r="A287" s="599"/>
      <c r="B287" s="159" t="s">
        <v>59</v>
      </c>
      <c r="C287" s="159"/>
      <c r="D287" s="214">
        <v>232.8</v>
      </c>
      <c r="E287" s="214">
        <v>232.8</v>
      </c>
      <c r="F287" s="214">
        <v>8.4</v>
      </c>
      <c r="G287" s="214">
        <v>8.3000000000000007</v>
      </c>
      <c r="H287" s="214">
        <v>74.8</v>
      </c>
      <c r="I287" s="214">
        <v>141.1</v>
      </c>
      <c r="J287" s="214">
        <v>74.8</v>
      </c>
      <c r="K287" s="214">
        <v>46.7</v>
      </c>
      <c r="L287" s="214">
        <v>74.8</v>
      </c>
      <c r="M287" s="215">
        <v>28.4</v>
      </c>
      <c r="N287" s="181">
        <f>SUM(F287+H287+J287+L287)</f>
        <v>232.8</v>
      </c>
      <c r="O287" s="215">
        <f>SUM(G287+I287+K287+M287)</f>
        <v>224.50000000000003</v>
      </c>
    </row>
    <row r="288" spans="1:15" ht="40.5" customHeight="1" x14ac:dyDescent="0.2">
      <c r="A288" s="600"/>
      <c r="B288" s="159" t="s">
        <v>60</v>
      </c>
      <c r="C288" s="159"/>
      <c r="D288" s="183"/>
      <c r="E288" s="183"/>
      <c r="F288" s="183"/>
      <c r="G288" s="183"/>
      <c r="H288" s="183"/>
      <c r="I288" s="183"/>
      <c r="J288" s="183"/>
      <c r="K288" s="183"/>
      <c r="L288" s="183"/>
      <c r="M288" s="184"/>
      <c r="N288" s="182"/>
      <c r="O288" s="215"/>
    </row>
    <row r="289" spans="1:15" ht="42.75" customHeight="1" x14ac:dyDescent="0.2">
      <c r="A289" s="23" t="s">
        <v>12</v>
      </c>
      <c r="B289" s="20"/>
      <c r="C289" s="20"/>
      <c r="D289" s="109">
        <f t="shared" ref="D289:O289" si="66">SUM(D285)</f>
        <v>232.8</v>
      </c>
      <c r="E289" s="109">
        <f t="shared" si="66"/>
        <v>232.8</v>
      </c>
      <c r="F289" s="109">
        <f t="shared" si="66"/>
        <v>8.4</v>
      </c>
      <c r="G289" s="109">
        <f t="shared" si="66"/>
        <v>8.3000000000000007</v>
      </c>
      <c r="H289" s="109">
        <f t="shared" si="66"/>
        <v>74.8</v>
      </c>
      <c r="I289" s="109">
        <f t="shared" si="66"/>
        <v>141.1</v>
      </c>
      <c r="J289" s="109">
        <f t="shared" si="66"/>
        <v>74.8</v>
      </c>
      <c r="K289" s="109">
        <f t="shared" si="66"/>
        <v>46.7</v>
      </c>
      <c r="L289" s="109">
        <f t="shared" si="66"/>
        <v>74.8</v>
      </c>
      <c r="M289" s="109">
        <f t="shared" si="66"/>
        <v>28.38</v>
      </c>
      <c r="N289" s="109">
        <f t="shared" si="66"/>
        <v>232.8</v>
      </c>
      <c r="O289" s="239">
        <f t="shared" si="66"/>
        <v>224.48000000000002</v>
      </c>
    </row>
    <row r="290" spans="1:15" ht="15.75" x14ac:dyDescent="0.2">
      <c r="A290" s="21"/>
      <c r="B290" s="20" t="s">
        <v>58</v>
      </c>
      <c r="C290" s="20"/>
      <c r="D290" s="106"/>
      <c r="E290" s="106"/>
      <c r="F290" s="107"/>
      <c r="G290" s="107"/>
      <c r="H290" s="107"/>
      <c r="I290" s="107"/>
      <c r="J290" s="107"/>
      <c r="K290" s="107"/>
      <c r="L290" s="108"/>
      <c r="M290" s="89"/>
      <c r="N290" s="43"/>
      <c r="O290" s="123"/>
    </row>
    <row r="291" spans="1:15" ht="15.75" x14ac:dyDescent="0.2">
      <c r="A291" s="21"/>
      <c r="B291" s="20" t="s">
        <v>59</v>
      </c>
      <c r="C291" s="20"/>
      <c r="D291" s="109">
        <f t="shared" ref="D291:O291" si="67">SUM(D287)</f>
        <v>232.8</v>
      </c>
      <c r="E291" s="109">
        <f t="shared" si="67"/>
        <v>232.8</v>
      </c>
      <c r="F291" s="109">
        <f t="shared" si="67"/>
        <v>8.4</v>
      </c>
      <c r="G291" s="109">
        <f t="shared" si="67"/>
        <v>8.3000000000000007</v>
      </c>
      <c r="H291" s="109">
        <f t="shared" si="67"/>
        <v>74.8</v>
      </c>
      <c r="I291" s="109">
        <f t="shared" si="67"/>
        <v>141.1</v>
      </c>
      <c r="J291" s="109">
        <f t="shared" si="67"/>
        <v>74.8</v>
      </c>
      <c r="K291" s="109">
        <f t="shared" si="67"/>
        <v>46.7</v>
      </c>
      <c r="L291" s="109">
        <f t="shared" si="67"/>
        <v>74.8</v>
      </c>
      <c r="M291" s="109">
        <f t="shared" si="67"/>
        <v>28.4</v>
      </c>
      <c r="N291" s="109">
        <f t="shared" si="67"/>
        <v>232.8</v>
      </c>
      <c r="O291" s="239">
        <f t="shared" si="67"/>
        <v>224.50000000000003</v>
      </c>
    </row>
    <row r="292" spans="1:15" ht="15.75" customHeight="1" thickBot="1" x14ac:dyDescent="0.25">
      <c r="A292" s="22"/>
      <c r="B292" s="24" t="s">
        <v>61</v>
      </c>
      <c r="C292" s="24"/>
      <c r="D292" s="25">
        <v>0</v>
      </c>
      <c r="E292" s="152">
        <v>0</v>
      </c>
      <c r="F292" s="107" t="s">
        <v>57</v>
      </c>
      <c r="G292" s="107" t="s">
        <v>57</v>
      </c>
      <c r="H292" s="107" t="s">
        <v>57</v>
      </c>
      <c r="I292" s="107">
        <v>0</v>
      </c>
      <c r="J292" s="107" t="s">
        <v>57</v>
      </c>
      <c r="K292" s="107">
        <v>0</v>
      </c>
      <c r="L292" s="108" t="s">
        <v>57</v>
      </c>
      <c r="M292" s="89">
        <v>0</v>
      </c>
      <c r="N292" s="124"/>
      <c r="O292" s="240"/>
    </row>
    <row r="293" spans="1:15" ht="42" customHeight="1" thickBot="1" x14ac:dyDescent="0.25">
      <c r="A293" s="578" t="s">
        <v>31</v>
      </c>
      <c r="B293" s="177" t="s">
        <v>79</v>
      </c>
      <c r="C293" s="274"/>
      <c r="D293" s="178">
        <v>879.3</v>
      </c>
      <c r="E293" s="178">
        <v>879.3</v>
      </c>
      <c r="F293" s="178">
        <v>15.1</v>
      </c>
      <c r="G293" s="178">
        <v>15.1</v>
      </c>
      <c r="H293" s="178">
        <v>288.10000000000002</v>
      </c>
      <c r="I293" s="178">
        <v>131</v>
      </c>
      <c r="J293" s="178">
        <v>288</v>
      </c>
      <c r="K293" s="178"/>
      <c r="L293" s="178">
        <v>288.10000000000002</v>
      </c>
      <c r="M293" s="178">
        <v>521.6</v>
      </c>
      <c r="N293" s="139">
        <f>SUM(F293+H293+J293+L293)</f>
        <v>879.30000000000007</v>
      </c>
      <c r="O293" s="241">
        <f>SUM(G293+I293+K293+M293)</f>
        <v>667.7</v>
      </c>
    </row>
    <row r="294" spans="1:15" s="1" customFormat="1" ht="32.25" customHeight="1" thickBot="1" x14ac:dyDescent="0.3">
      <c r="A294" s="579"/>
      <c r="B294" s="179" t="s">
        <v>58</v>
      </c>
      <c r="C294" s="274"/>
      <c r="D294" s="178"/>
      <c r="E294" s="178"/>
      <c r="F294" s="180"/>
      <c r="G294" s="180"/>
      <c r="H294" s="180"/>
      <c r="I294" s="180"/>
      <c r="J294" s="180"/>
      <c r="K294" s="180"/>
      <c r="L294" s="180"/>
      <c r="M294" s="180"/>
      <c r="N294" s="180"/>
      <c r="O294" s="242"/>
    </row>
    <row r="295" spans="1:15" ht="32.25" customHeight="1" thickBot="1" x14ac:dyDescent="0.25">
      <c r="A295" s="579"/>
      <c r="B295" s="179" t="s">
        <v>59</v>
      </c>
      <c r="C295" s="274"/>
      <c r="D295" s="178">
        <v>879.3</v>
      </c>
      <c r="E295" s="178">
        <v>879.3</v>
      </c>
      <c r="F295" s="178">
        <v>15.1</v>
      </c>
      <c r="G295" s="178">
        <v>15.1</v>
      </c>
      <c r="H295" s="178">
        <v>288.10000000000002</v>
      </c>
      <c r="I295" s="178">
        <v>131</v>
      </c>
      <c r="J295" s="178">
        <v>288</v>
      </c>
      <c r="K295" s="178"/>
      <c r="L295" s="178">
        <v>288.10000000000002</v>
      </c>
      <c r="M295" s="178">
        <v>521.6</v>
      </c>
      <c r="N295" s="139">
        <f>SUM(F295+H295+J295+L295)</f>
        <v>879.30000000000007</v>
      </c>
      <c r="O295" s="241">
        <f>SUM(G295+I295+K295+M295)</f>
        <v>667.7</v>
      </c>
    </row>
    <row r="296" spans="1:15" ht="39.75" customHeight="1" thickBot="1" x14ac:dyDescent="0.3">
      <c r="A296" s="579"/>
      <c r="B296" s="179" t="s">
        <v>60</v>
      </c>
      <c r="C296" s="274"/>
      <c r="D296" s="178"/>
      <c r="E296" s="178"/>
      <c r="F296" s="180"/>
      <c r="G296" s="180"/>
      <c r="H296" s="180"/>
      <c r="I296" s="180"/>
      <c r="J296" s="180"/>
      <c r="K296" s="180"/>
      <c r="L296" s="180"/>
      <c r="M296" s="180"/>
      <c r="N296" s="180"/>
      <c r="O296" s="242"/>
    </row>
    <row r="297" spans="1:15" ht="75.75" thickBot="1" x14ac:dyDescent="0.25">
      <c r="A297" s="579"/>
      <c r="B297" s="179" t="s">
        <v>80</v>
      </c>
      <c r="C297" s="274"/>
      <c r="D297" s="178">
        <v>3972.8</v>
      </c>
      <c r="E297" s="178">
        <v>3972.8</v>
      </c>
      <c r="F297" s="178">
        <v>993.2</v>
      </c>
      <c r="G297" s="178">
        <v>993.2</v>
      </c>
      <c r="H297" s="178">
        <v>993.2</v>
      </c>
      <c r="I297" s="178">
        <v>993.2</v>
      </c>
      <c r="J297" s="178">
        <v>993.2</v>
      </c>
      <c r="K297" s="178">
        <v>1392.2</v>
      </c>
      <c r="L297" s="178">
        <v>993.2</v>
      </c>
      <c r="M297" s="178">
        <v>594.20000000000005</v>
      </c>
      <c r="N297" s="139">
        <f>SUM(F297+H297+J297+L297)</f>
        <v>3972.8</v>
      </c>
      <c r="O297" s="241">
        <f>SUM(G297+I297+K297+M297)</f>
        <v>3972.8</v>
      </c>
    </row>
    <row r="298" spans="1:15" ht="15.75" thickBot="1" x14ac:dyDescent="0.3">
      <c r="A298" s="579"/>
      <c r="B298" s="179" t="s">
        <v>58</v>
      </c>
      <c r="C298" s="274"/>
      <c r="D298" s="178"/>
      <c r="E298" s="178"/>
      <c r="F298" s="180"/>
      <c r="G298" s="180"/>
      <c r="H298" s="180"/>
      <c r="I298" s="180"/>
      <c r="J298" s="180"/>
      <c r="K298" s="180"/>
      <c r="L298" s="180"/>
      <c r="M298" s="180"/>
      <c r="N298" s="180"/>
      <c r="O298" s="242"/>
    </row>
    <row r="299" spans="1:15" ht="28.5" customHeight="1" thickBot="1" x14ac:dyDescent="0.25">
      <c r="A299" s="579"/>
      <c r="B299" s="179" t="s">
        <v>59</v>
      </c>
      <c r="C299" s="274"/>
      <c r="D299" s="178">
        <v>3972.8</v>
      </c>
      <c r="E299" s="178">
        <v>3972.8</v>
      </c>
      <c r="F299" s="178">
        <v>993.2</v>
      </c>
      <c r="G299" s="178">
        <v>993.2</v>
      </c>
      <c r="H299" s="178">
        <v>993.2</v>
      </c>
      <c r="I299" s="178">
        <v>993.2</v>
      </c>
      <c r="J299" s="178">
        <v>993.2</v>
      </c>
      <c r="K299" s="178">
        <v>1392.2</v>
      </c>
      <c r="L299" s="178">
        <v>993.2</v>
      </c>
      <c r="M299" s="178">
        <v>594.20000000000005</v>
      </c>
      <c r="N299" s="139">
        <f>SUM(F299+H299+J299+L299)</f>
        <v>3972.8</v>
      </c>
      <c r="O299" s="241">
        <f>SUM(G299+I299+K299+M299)</f>
        <v>3972.8</v>
      </c>
    </row>
    <row r="300" spans="1:15" ht="32.25" customHeight="1" thickBot="1" x14ac:dyDescent="0.3">
      <c r="A300" s="579"/>
      <c r="B300" s="179" t="s">
        <v>60</v>
      </c>
      <c r="C300" s="274"/>
      <c r="D300" s="178"/>
      <c r="E300" s="178"/>
      <c r="F300" s="180"/>
      <c r="G300" s="180"/>
      <c r="H300" s="180"/>
      <c r="I300" s="180"/>
      <c r="J300" s="180"/>
      <c r="K300" s="180"/>
      <c r="L300" s="180"/>
      <c r="M300" s="180"/>
      <c r="N300" s="180"/>
      <c r="O300" s="242"/>
    </row>
    <row r="301" spans="1:15" ht="33.75" customHeight="1" x14ac:dyDescent="0.2">
      <c r="A301" s="5" t="s">
        <v>12</v>
      </c>
      <c r="B301" s="20"/>
      <c r="C301" s="20"/>
      <c r="D301" s="347">
        <f t="shared" ref="D301:M301" si="68">SUM(D297+D293)</f>
        <v>4852.1000000000004</v>
      </c>
      <c r="E301" s="347">
        <f t="shared" si="68"/>
        <v>4852.1000000000004</v>
      </c>
      <c r="F301" s="347">
        <f t="shared" si="68"/>
        <v>1008.3000000000001</v>
      </c>
      <c r="G301" s="347">
        <f t="shared" si="68"/>
        <v>1008.3000000000001</v>
      </c>
      <c r="H301" s="347">
        <f t="shared" si="68"/>
        <v>1281.3000000000002</v>
      </c>
      <c r="I301" s="347">
        <f t="shared" si="68"/>
        <v>1124.2</v>
      </c>
      <c r="J301" s="347">
        <f t="shared" si="68"/>
        <v>1281.2</v>
      </c>
      <c r="K301" s="347">
        <f t="shared" si="68"/>
        <v>1392.2</v>
      </c>
      <c r="L301" s="347">
        <f t="shared" si="68"/>
        <v>1281.3000000000002</v>
      </c>
      <c r="M301" s="347">
        <f t="shared" si="68"/>
        <v>1115.8000000000002</v>
      </c>
      <c r="N301" s="489">
        <f>SUM(F301+H301+J301+L301)</f>
        <v>4852.1000000000004</v>
      </c>
      <c r="O301" s="248">
        <f>SUM(O297+O293)</f>
        <v>4640.5</v>
      </c>
    </row>
    <row r="302" spans="1:15" ht="30" customHeight="1" x14ac:dyDescent="0.25">
      <c r="A302" s="580"/>
      <c r="B302" s="20" t="s">
        <v>58</v>
      </c>
      <c r="C302" s="20"/>
      <c r="D302" s="348"/>
      <c r="E302" s="348"/>
      <c r="F302" s="383"/>
      <c r="G302" s="383"/>
      <c r="H302" s="383"/>
      <c r="I302" s="383"/>
      <c r="J302" s="383"/>
      <c r="K302" s="383"/>
      <c r="L302" s="383"/>
      <c r="M302" s="383"/>
      <c r="N302" s="383"/>
      <c r="O302" s="384"/>
    </row>
    <row r="303" spans="1:15" ht="32.25" customHeight="1" x14ac:dyDescent="0.2">
      <c r="A303" s="574"/>
      <c r="B303" s="20" t="s">
        <v>59</v>
      </c>
      <c r="C303" s="20"/>
      <c r="D303" s="349">
        <f t="shared" ref="D303:M303" si="69">SUM(D299+D295)</f>
        <v>4852.1000000000004</v>
      </c>
      <c r="E303" s="349">
        <f t="shared" si="69"/>
        <v>4852.1000000000004</v>
      </c>
      <c r="F303" s="349">
        <f t="shared" si="69"/>
        <v>1008.3000000000001</v>
      </c>
      <c r="G303" s="349">
        <f t="shared" si="69"/>
        <v>1008.3000000000001</v>
      </c>
      <c r="H303" s="349">
        <f t="shared" si="69"/>
        <v>1281.3000000000002</v>
      </c>
      <c r="I303" s="349">
        <f t="shared" si="69"/>
        <v>1124.2</v>
      </c>
      <c r="J303" s="349">
        <f t="shared" si="69"/>
        <v>1281.2</v>
      </c>
      <c r="K303" s="349">
        <f t="shared" si="69"/>
        <v>1392.2</v>
      </c>
      <c r="L303" s="349">
        <f t="shared" si="69"/>
        <v>1281.3000000000002</v>
      </c>
      <c r="M303" s="349">
        <f t="shared" si="69"/>
        <v>1115.8000000000002</v>
      </c>
      <c r="N303" s="490">
        <f>SUM(F303+H303+J303+L303)</f>
        <v>4852.1000000000004</v>
      </c>
      <c r="O303" s="483">
        <f>SUM(G303+I303+K303+M303)</f>
        <v>4640.5</v>
      </c>
    </row>
    <row r="304" spans="1:15" ht="36.75" customHeight="1" thickBot="1" x14ac:dyDescent="0.25">
      <c r="A304" s="575"/>
      <c r="B304" s="24" t="s">
        <v>61</v>
      </c>
      <c r="C304" s="24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6"/>
      <c r="O304" s="240"/>
    </row>
    <row r="305" spans="1:15" ht="134.25" customHeight="1" thickBot="1" x14ac:dyDescent="0.25">
      <c r="A305" s="581" t="s">
        <v>32</v>
      </c>
      <c r="B305" s="175" t="s">
        <v>46</v>
      </c>
      <c r="C305" s="275"/>
      <c r="D305" s="176">
        <v>20</v>
      </c>
      <c r="E305" s="176">
        <v>20</v>
      </c>
      <c r="F305" s="158">
        <v>10</v>
      </c>
      <c r="G305" s="158">
        <v>0</v>
      </c>
      <c r="H305" s="161"/>
      <c r="I305" s="161"/>
      <c r="J305" s="304">
        <v>10</v>
      </c>
      <c r="K305" s="161"/>
      <c r="L305" s="161"/>
      <c r="M305" s="350">
        <v>15</v>
      </c>
      <c r="N305" s="139">
        <f>SUM(F305+H305+J305+L305)</f>
        <v>20</v>
      </c>
      <c r="O305" s="241">
        <f>SUM(G305+I305+K305+M305)</f>
        <v>15</v>
      </c>
    </row>
    <row r="306" spans="1:15" s="1" customFormat="1" ht="21.75" customHeight="1" thickBot="1" x14ac:dyDescent="0.25">
      <c r="A306" s="582"/>
      <c r="B306" s="167" t="s">
        <v>58</v>
      </c>
      <c r="C306" s="275"/>
      <c r="D306" s="176"/>
      <c r="E306" s="176"/>
      <c r="F306" s="161"/>
      <c r="G306" s="161"/>
      <c r="H306" s="161"/>
      <c r="I306" s="161"/>
      <c r="J306" s="304"/>
      <c r="K306" s="161"/>
      <c r="L306" s="161"/>
      <c r="M306" s="350"/>
      <c r="N306" s="14"/>
      <c r="O306" s="201"/>
    </row>
    <row r="307" spans="1:15" ht="16.5" thickBot="1" x14ac:dyDescent="0.25">
      <c r="A307" s="582"/>
      <c r="B307" s="167" t="s">
        <v>59</v>
      </c>
      <c r="C307" s="275"/>
      <c r="D307" s="176">
        <v>20</v>
      </c>
      <c r="E307" s="176">
        <v>20</v>
      </c>
      <c r="F307" s="158">
        <v>10</v>
      </c>
      <c r="G307" s="158">
        <v>0</v>
      </c>
      <c r="H307" s="161"/>
      <c r="I307" s="161"/>
      <c r="J307" s="304">
        <v>10</v>
      </c>
      <c r="K307" s="161"/>
      <c r="L307" s="161"/>
      <c r="M307" s="350">
        <v>15</v>
      </c>
      <c r="N307" s="139">
        <f>SUM(F307+H307+J307+L307)</f>
        <v>20</v>
      </c>
      <c r="O307" s="241">
        <f>SUM(G307+I307+K307+M307)</f>
        <v>15</v>
      </c>
    </row>
    <row r="308" spans="1:15" ht="32.25" thickBot="1" x14ac:dyDescent="0.25">
      <c r="A308" s="582"/>
      <c r="B308" s="167" t="s">
        <v>60</v>
      </c>
      <c r="C308" s="275"/>
      <c r="D308" s="176"/>
      <c r="E308" s="176"/>
      <c r="F308" s="161"/>
      <c r="G308" s="161"/>
      <c r="H308" s="161"/>
      <c r="I308" s="161"/>
      <c r="J308" s="161"/>
      <c r="K308" s="161"/>
      <c r="L308" s="161"/>
      <c r="M308" s="161"/>
      <c r="N308" s="14"/>
      <c r="O308" s="201"/>
    </row>
    <row r="309" spans="1:15" ht="37.5" x14ac:dyDescent="0.2">
      <c r="A309" s="5" t="s">
        <v>12</v>
      </c>
      <c r="B309" s="20"/>
      <c r="C309" s="20"/>
      <c r="D309" s="69">
        <f t="shared" ref="D309:O309" si="70">SUM(D305)</f>
        <v>20</v>
      </c>
      <c r="E309" s="69">
        <f t="shared" si="70"/>
        <v>20</v>
      </c>
      <c r="F309" s="69">
        <f t="shared" si="70"/>
        <v>10</v>
      </c>
      <c r="G309" s="69">
        <f t="shared" si="70"/>
        <v>0</v>
      </c>
      <c r="H309" s="69">
        <f t="shared" si="70"/>
        <v>0</v>
      </c>
      <c r="I309" s="69">
        <f t="shared" si="70"/>
        <v>0</v>
      </c>
      <c r="J309" s="69">
        <f t="shared" si="70"/>
        <v>10</v>
      </c>
      <c r="K309" s="69">
        <f t="shared" si="70"/>
        <v>0</v>
      </c>
      <c r="L309" s="69">
        <f t="shared" si="70"/>
        <v>0</v>
      </c>
      <c r="M309" s="69">
        <f t="shared" si="70"/>
        <v>15</v>
      </c>
      <c r="N309" s="132">
        <f t="shared" si="70"/>
        <v>20</v>
      </c>
      <c r="O309" s="243">
        <f t="shared" si="70"/>
        <v>15</v>
      </c>
    </row>
    <row r="310" spans="1:15" ht="15.75" x14ac:dyDescent="0.2">
      <c r="A310" s="55"/>
      <c r="B310" s="20" t="s">
        <v>58</v>
      </c>
      <c r="C310" s="20"/>
      <c r="D310" s="69"/>
      <c r="E310" s="69"/>
      <c r="F310" s="42"/>
      <c r="G310" s="42"/>
      <c r="H310" s="42"/>
      <c r="I310" s="42"/>
      <c r="J310" s="42"/>
      <c r="K310" s="42"/>
      <c r="L310" s="42"/>
      <c r="M310" s="42"/>
      <c r="N310" s="74"/>
      <c r="O310" s="120"/>
    </row>
    <row r="311" spans="1:15" ht="15.75" x14ac:dyDescent="0.2">
      <c r="A311" s="55"/>
      <c r="B311" s="20" t="s">
        <v>59</v>
      </c>
      <c r="C311" s="20"/>
      <c r="D311" s="69">
        <f t="shared" ref="D311:M311" si="71">SUM(D307)</f>
        <v>20</v>
      </c>
      <c r="E311" s="69">
        <f t="shared" si="71"/>
        <v>20</v>
      </c>
      <c r="F311" s="69">
        <f t="shared" si="71"/>
        <v>10</v>
      </c>
      <c r="G311" s="69">
        <f t="shared" si="71"/>
        <v>0</v>
      </c>
      <c r="H311" s="69">
        <f t="shared" si="71"/>
        <v>0</v>
      </c>
      <c r="I311" s="69">
        <f t="shared" si="71"/>
        <v>0</v>
      </c>
      <c r="J311" s="69">
        <f t="shared" si="71"/>
        <v>10</v>
      </c>
      <c r="K311" s="69">
        <f t="shared" si="71"/>
        <v>0</v>
      </c>
      <c r="L311" s="69">
        <f t="shared" si="71"/>
        <v>0</v>
      </c>
      <c r="M311" s="69">
        <f t="shared" si="71"/>
        <v>15</v>
      </c>
      <c r="N311" s="138">
        <f>SUM(F311+H311+J311+L311)</f>
        <v>20</v>
      </c>
      <c r="O311" s="244">
        <f>SUM(G311+I311+K311+M311)</f>
        <v>15</v>
      </c>
    </row>
    <row r="312" spans="1:15" ht="32.25" thickBot="1" x14ac:dyDescent="0.25">
      <c r="A312" s="5"/>
      <c r="B312" s="24" t="s">
        <v>61</v>
      </c>
      <c r="C312" s="24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6"/>
      <c r="O312" s="240"/>
    </row>
    <row r="313" spans="1:15" ht="110.25" x14ac:dyDescent="0.2">
      <c r="A313" s="209" t="s">
        <v>67</v>
      </c>
      <c r="B313" s="24" t="s">
        <v>81</v>
      </c>
      <c r="C313" s="276"/>
      <c r="D313" s="210">
        <v>2679.3</v>
      </c>
      <c r="E313" s="210">
        <v>2679.3</v>
      </c>
      <c r="F313" s="210">
        <v>653.1</v>
      </c>
      <c r="G313" s="210">
        <v>653.1</v>
      </c>
      <c r="H313" s="210">
        <v>675.4</v>
      </c>
      <c r="I313" s="210">
        <v>649.6</v>
      </c>
      <c r="J313" s="210">
        <v>675.4</v>
      </c>
      <c r="K313" s="210">
        <v>659.5</v>
      </c>
      <c r="L313" s="210">
        <v>675.4</v>
      </c>
      <c r="M313" s="211">
        <v>715.5</v>
      </c>
      <c r="N313" s="212">
        <f>SUM(F313+H313+J313+L313)</f>
        <v>2679.3</v>
      </c>
      <c r="O313" s="245">
        <f>SUM(G313+I313+K313+M313)</f>
        <v>2677.7</v>
      </c>
    </row>
    <row r="314" spans="1:15" s="1" customFormat="1" ht="32.25" customHeight="1" x14ac:dyDescent="0.2">
      <c r="A314" s="26" t="s">
        <v>2</v>
      </c>
      <c r="B314" s="39"/>
      <c r="C314" s="39"/>
      <c r="D314" s="30">
        <f t="shared" ref="D314:O314" si="72">SUM(D313+D309+D301+D289+D281)</f>
        <v>41053.67</v>
      </c>
      <c r="E314" s="30">
        <f t="shared" si="72"/>
        <v>41053.67</v>
      </c>
      <c r="F314" s="30">
        <f t="shared" si="72"/>
        <v>7257.1</v>
      </c>
      <c r="G314" s="30">
        <f t="shared" si="72"/>
        <v>7246.9</v>
      </c>
      <c r="H314" s="30">
        <f t="shared" si="72"/>
        <v>8962</v>
      </c>
      <c r="I314" s="30">
        <f t="shared" si="72"/>
        <v>7463.4</v>
      </c>
      <c r="J314" s="30">
        <f t="shared" si="72"/>
        <v>17411</v>
      </c>
      <c r="K314" s="30">
        <f t="shared" si="72"/>
        <v>18081.5</v>
      </c>
      <c r="L314" s="30">
        <f t="shared" si="72"/>
        <v>7423.5999999999995</v>
      </c>
      <c r="M314" s="30">
        <f t="shared" si="72"/>
        <v>7815.2800000000007</v>
      </c>
      <c r="N314" s="486">
        <f t="shared" si="72"/>
        <v>41053.699999999997</v>
      </c>
      <c r="O314" s="484">
        <f t="shared" si="72"/>
        <v>40607.08</v>
      </c>
    </row>
    <row r="315" spans="1:15" s="1" customFormat="1" ht="33" customHeight="1" x14ac:dyDescent="0.2">
      <c r="A315" s="28"/>
      <c r="B315" s="39" t="s">
        <v>58</v>
      </c>
      <c r="C315" s="3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487"/>
      <c r="O315" s="246"/>
    </row>
    <row r="316" spans="1:15" s="1" customFormat="1" ht="32.25" customHeight="1" x14ac:dyDescent="0.2">
      <c r="A316" s="26"/>
      <c r="B316" s="39" t="s">
        <v>59</v>
      </c>
      <c r="C316" s="264"/>
      <c r="D316" s="27">
        <f t="shared" ref="D316:O316" si="73">SUM(D311+D303+D291+D283+D313)</f>
        <v>41053.670000000006</v>
      </c>
      <c r="E316" s="27">
        <f t="shared" si="73"/>
        <v>41053.670000000006</v>
      </c>
      <c r="F316" s="27">
        <f t="shared" si="73"/>
        <v>7257.1</v>
      </c>
      <c r="G316" s="27">
        <f t="shared" si="73"/>
        <v>7246.9000000000005</v>
      </c>
      <c r="H316" s="27">
        <f t="shared" si="73"/>
        <v>8962</v>
      </c>
      <c r="I316" s="27">
        <f t="shared" si="73"/>
        <v>7463.4</v>
      </c>
      <c r="J316" s="27">
        <f t="shared" si="73"/>
        <v>17411</v>
      </c>
      <c r="K316" s="27">
        <f t="shared" si="73"/>
        <v>18081.5</v>
      </c>
      <c r="L316" s="27">
        <f t="shared" si="73"/>
        <v>7423.5999999999995</v>
      </c>
      <c r="M316" s="27">
        <f t="shared" si="73"/>
        <v>7815.3000000000011</v>
      </c>
      <c r="N316" s="488">
        <f t="shared" si="73"/>
        <v>41053.700000000004</v>
      </c>
      <c r="O316" s="485">
        <f t="shared" si="73"/>
        <v>40607.1</v>
      </c>
    </row>
    <row r="317" spans="1:15" s="1" customFormat="1" ht="32.25" customHeight="1" x14ac:dyDescent="0.2">
      <c r="A317" s="28"/>
      <c r="B317" s="51" t="s">
        <v>61</v>
      </c>
      <c r="C317" s="51"/>
      <c r="D317" s="31">
        <f t="shared" ref="D317:O317" si="74">SUM(D312+D304+D292+D284)</f>
        <v>0</v>
      </c>
      <c r="E317" s="31">
        <f t="shared" si="74"/>
        <v>0</v>
      </c>
      <c r="F317" s="31">
        <f t="shared" si="74"/>
        <v>0</v>
      </c>
      <c r="G317" s="31">
        <f t="shared" si="74"/>
        <v>0</v>
      </c>
      <c r="H317" s="31">
        <f t="shared" si="74"/>
        <v>0</v>
      </c>
      <c r="I317" s="31">
        <f t="shared" si="74"/>
        <v>0</v>
      </c>
      <c r="J317" s="31">
        <f t="shared" si="74"/>
        <v>0</v>
      </c>
      <c r="K317" s="31">
        <f t="shared" si="74"/>
        <v>0</v>
      </c>
      <c r="L317" s="31">
        <f t="shared" si="74"/>
        <v>0</v>
      </c>
      <c r="M317" s="31">
        <f t="shared" si="74"/>
        <v>0</v>
      </c>
      <c r="N317" s="31">
        <f t="shared" si="74"/>
        <v>0</v>
      </c>
      <c r="O317" s="121">
        <f t="shared" si="74"/>
        <v>0</v>
      </c>
    </row>
    <row r="318" spans="1:15" s="1" customFormat="1" ht="32.25" customHeight="1" x14ac:dyDescent="0.25">
      <c r="A318" s="590" t="s">
        <v>33</v>
      </c>
      <c r="B318" s="590"/>
      <c r="C318" s="590"/>
      <c r="D318" s="590"/>
      <c r="E318" s="590"/>
      <c r="F318" s="590"/>
      <c r="G318" s="590"/>
      <c r="H318" s="590"/>
      <c r="I318" s="590"/>
      <c r="J318" s="590"/>
      <c r="K318" s="590"/>
      <c r="L318" s="590"/>
      <c r="M318" s="590"/>
      <c r="N318" s="591"/>
      <c r="O318" s="592"/>
    </row>
    <row r="319" spans="1:15" s="1" customFormat="1" ht="67.5" customHeight="1" x14ac:dyDescent="0.2">
      <c r="A319" s="583" t="s">
        <v>34</v>
      </c>
      <c r="B319" s="207" t="s">
        <v>34</v>
      </c>
      <c r="C319" s="207"/>
      <c r="D319" s="171">
        <v>1188</v>
      </c>
      <c r="E319" s="171">
        <v>1188</v>
      </c>
      <c r="F319" s="171">
        <v>220.5</v>
      </c>
      <c r="G319" s="171">
        <v>220.5</v>
      </c>
      <c r="H319" s="171">
        <v>322.5</v>
      </c>
      <c r="I319" s="171">
        <v>518</v>
      </c>
      <c r="J319" s="171">
        <v>212.6</v>
      </c>
      <c r="K319" s="171">
        <v>225</v>
      </c>
      <c r="L319" s="171">
        <v>432.4</v>
      </c>
      <c r="M319" s="171">
        <v>224.5</v>
      </c>
      <c r="N319" s="208">
        <f t="shared" ref="N319:O321" si="75">SUM(F319+H319+J319+L319)</f>
        <v>1188</v>
      </c>
      <c r="O319" s="247">
        <f t="shared" si="75"/>
        <v>1188</v>
      </c>
    </row>
    <row r="320" spans="1:15" s="433" customFormat="1" ht="67.5" customHeight="1" x14ac:dyDescent="0.25">
      <c r="A320" s="583"/>
      <c r="B320" s="170" t="s">
        <v>82</v>
      </c>
      <c r="C320" s="170"/>
      <c r="D320" s="172">
        <v>310</v>
      </c>
      <c r="E320" s="172">
        <v>310</v>
      </c>
      <c r="F320" s="172">
        <v>10</v>
      </c>
      <c r="G320" s="172">
        <v>10</v>
      </c>
      <c r="H320" s="172">
        <v>300</v>
      </c>
      <c r="I320" s="172">
        <v>99.9</v>
      </c>
      <c r="J320" s="172"/>
      <c r="K320" s="173">
        <v>200</v>
      </c>
      <c r="L320" s="172"/>
      <c r="M320" s="174"/>
      <c r="N320" s="139">
        <f t="shared" ref="N320" si="76">SUM(F320+H320+J320+L320)</f>
        <v>310</v>
      </c>
      <c r="O320" s="241">
        <f t="shared" ref="O320" si="77">SUM(G320+I320+K320+M320)</f>
        <v>309.89999999999998</v>
      </c>
    </row>
    <row r="321" spans="1:15" ht="60" customHeight="1" x14ac:dyDescent="0.25">
      <c r="A321" s="583"/>
      <c r="B321" s="170" t="s">
        <v>187</v>
      </c>
      <c r="C321" s="170"/>
      <c r="D321" s="172">
        <v>531.1</v>
      </c>
      <c r="E321" s="172">
        <v>531.1</v>
      </c>
      <c r="F321" s="172"/>
      <c r="G321" s="172"/>
      <c r="H321" s="172"/>
      <c r="I321" s="172"/>
      <c r="J321" s="172">
        <v>531.1</v>
      </c>
      <c r="K321" s="173">
        <v>531.1</v>
      </c>
      <c r="L321" s="172"/>
      <c r="M321" s="174"/>
      <c r="N321" s="139">
        <f t="shared" si="75"/>
        <v>531.1</v>
      </c>
      <c r="O321" s="241">
        <f t="shared" si="75"/>
        <v>531.1</v>
      </c>
    </row>
    <row r="322" spans="1:15" ht="49.5" customHeight="1" x14ac:dyDescent="0.2">
      <c r="A322" s="5" t="s">
        <v>12</v>
      </c>
      <c r="B322" s="142"/>
      <c r="C322" s="142"/>
      <c r="D322" s="140">
        <f t="shared" ref="D322:O322" si="78">SUM(D319+D321+D320)</f>
        <v>2029.1</v>
      </c>
      <c r="E322" s="140">
        <f t="shared" si="78"/>
        <v>2029.1</v>
      </c>
      <c r="F322" s="140">
        <f t="shared" si="78"/>
        <v>230.5</v>
      </c>
      <c r="G322" s="140">
        <f t="shared" si="78"/>
        <v>230.5</v>
      </c>
      <c r="H322" s="140">
        <f t="shared" si="78"/>
        <v>622.5</v>
      </c>
      <c r="I322" s="140">
        <f t="shared" si="78"/>
        <v>617.9</v>
      </c>
      <c r="J322" s="140">
        <f t="shared" si="78"/>
        <v>743.7</v>
      </c>
      <c r="K322" s="140">
        <f t="shared" si="78"/>
        <v>956.1</v>
      </c>
      <c r="L322" s="140">
        <f t="shared" si="78"/>
        <v>432.4</v>
      </c>
      <c r="M322" s="140">
        <f t="shared" si="78"/>
        <v>224.5</v>
      </c>
      <c r="N322" s="140">
        <f t="shared" si="78"/>
        <v>2029.1</v>
      </c>
      <c r="O322" s="140">
        <f t="shared" si="78"/>
        <v>2029</v>
      </c>
    </row>
    <row r="323" spans="1:15" ht="29.25" customHeight="1" x14ac:dyDescent="0.2">
      <c r="A323" s="55"/>
      <c r="B323" s="142" t="s">
        <v>58</v>
      </c>
      <c r="C323" s="142"/>
      <c r="D323" s="140"/>
      <c r="E323" s="140"/>
      <c r="F323" s="140"/>
      <c r="G323" s="143"/>
      <c r="H323" s="143"/>
      <c r="I323" s="143"/>
      <c r="J323" s="140"/>
      <c r="K323" s="143"/>
      <c r="L323" s="140"/>
      <c r="M323" s="144"/>
      <c r="N323" s="141"/>
      <c r="O323" s="249"/>
    </row>
    <row r="324" spans="1:15" ht="36.75" customHeight="1" x14ac:dyDescent="0.2">
      <c r="A324" s="55"/>
      <c r="B324" s="142" t="s">
        <v>59</v>
      </c>
      <c r="C324" s="142"/>
      <c r="D324" s="140">
        <f t="shared" ref="D324:O324" si="79">SUM(D319+D320)</f>
        <v>1498</v>
      </c>
      <c r="E324" s="140">
        <f t="shared" si="79"/>
        <v>1498</v>
      </c>
      <c r="F324" s="140">
        <f t="shared" si="79"/>
        <v>230.5</v>
      </c>
      <c r="G324" s="140">
        <f t="shared" si="79"/>
        <v>230.5</v>
      </c>
      <c r="H324" s="140">
        <f t="shared" si="79"/>
        <v>622.5</v>
      </c>
      <c r="I324" s="140">
        <f t="shared" si="79"/>
        <v>617.9</v>
      </c>
      <c r="J324" s="140">
        <f t="shared" si="79"/>
        <v>212.6</v>
      </c>
      <c r="K324" s="140">
        <f t="shared" si="79"/>
        <v>425</v>
      </c>
      <c r="L324" s="140">
        <f t="shared" si="79"/>
        <v>432.4</v>
      </c>
      <c r="M324" s="140">
        <f t="shared" si="79"/>
        <v>224.5</v>
      </c>
      <c r="N324" s="140">
        <f t="shared" si="79"/>
        <v>1498</v>
      </c>
      <c r="O324" s="140">
        <f t="shared" si="79"/>
        <v>1497.9</v>
      </c>
    </row>
    <row r="325" spans="1:15" ht="41.25" customHeight="1" x14ac:dyDescent="0.2">
      <c r="A325" s="5"/>
      <c r="B325" s="24" t="s">
        <v>61</v>
      </c>
      <c r="C325" s="24"/>
      <c r="D325" s="140">
        <f>SUM(D321)</f>
        <v>531.1</v>
      </c>
      <c r="E325" s="140">
        <f>SUM(E321)</f>
        <v>531.1</v>
      </c>
      <c r="F325" s="6"/>
      <c r="G325" s="6"/>
      <c r="H325" s="6"/>
      <c r="I325" s="6"/>
      <c r="J325" s="140">
        <f>SUM(J321)</f>
        <v>531.1</v>
      </c>
      <c r="K325" s="140">
        <f>SUM(K321)</f>
        <v>531.1</v>
      </c>
      <c r="L325" s="6"/>
      <c r="M325" s="6"/>
      <c r="N325" s="140">
        <f>SUM(N321)</f>
        <v>531.1</v>
      </c>
      <c r="O325" s="140">
        <f>SUM(O321)</f>
        <v>531.1</v>
      </c>
    </row>
    <row r="326" spans="1:15" s="1" customFormat="1" ht="114" customHeight="1" x14ac:dyDescent="0.25">
      <c r="A326" s="579" t="s">
        <v>35</v>
      </c>
      <c r="B326" s="168" t="s">
        <v>68</v>
      </c>
      <c r="C326" s="168"/>
      <c r="D326" s="131">
        <v>100</v>
      </c>
      <c r="E326" s="131">
        <v>100</v>
      </c>
      <c r="F326" s="131"/>
      <c r="G326" s="131"/>
      <c r="H326" s="131"/>
      <c r="I326" s="131"/>
      <c r="J326" s="131">
        <v>100</v>
      </c>
      <c r="K326" s="131"/>
      <c r="L326" s="131"/>
      <c r="M326" s="131">
        <v>100</v>
      </c>
      <c r="N326" s="139">
        <f t="shared" ref="N326:O327" si="80">SUM(F326+H326+J326+L326)</f>
        <v>100</v>
      </c>
      <c r="O326" s="241">
        <f t="shared" si="80"/>
        <v>100</v>
      </c>
    </row>
    <row r="327" spans="1:15" ht="80.25" customHeight="1" x14ac:dyDescent="0.2">
      <c r="A327" s="674"/>
      <c r="B327" s="169" t="s">
        <v>69</v>
      </c>
      <c r="C327" s="169"/>
      <c r="D327" s="131">
        <v>50</v>
      </c>
      <c r="E327" s="131">
        <v>50</v>
      </c>
      <c r="F327" s="131"/>
      <c r="G327" s="131"/>
      <c r="H327" s="131"/>
      <c r="I327" s="131"/>
      <c r="J327" s="131">
        <v>50</v>
      </c>
      <c r="K327" s="131"/>
      <c r="L327" s="131"/>
      <c r="M327" s="131">
        <v>49.9</v>
      </c>
      <c r="N327" s="139">
        <f t="shared" si="80"/>
        <v>50</v>
      </c>
      <c r="O327" s="241">
        <f t="shared" si="80"/>
        <v>49.9</v>
      </c>
    </row>
    <row r="328" spans="1:15" ht="37.5" x14ac:dyDescent="0.2">
      <c r="A328" s="5" t="s">
        <v>12</v>
      </c>
      <c r="B328" s="20"/>
      <c r="C328" s="20"/>
      <c r="D328" s="75">
        <f t="shared" ref="D328:O328" si="81">SUM(D326+D327)</f>
        <v>150</v>
      </c>
      <c r="E328" s="75">
        <f t="shared" si="81"/>
        <v>150</v>
      </c>
      <c r="F328" s="75">
        <f t="shared" si="81"/>
        <v>0</v>
      </c>
      <c r="G328" s="75">
        <f t="shared" si="81"/>
        <v>0</v>
      </c>
      <c r="H328" s="75">
        <f t="shared" si="81"/>
        <v>0</v>
      </c>
      <c r="I328" s="75">
        <f t="shared" si="81"/>
        <v>0</v>
      </c>
      <c r="J328" s="75">
        <f t="shared" si="81"/>
        <v>150</v>
      </c>
      <c r="K328" s="75">
        <f t="shared" si="81"/>
        <v>0</v>
      </c>
      <c r="L328" s="75">
        <f t="shared" si="81"/>
        <v>0</v>
      </c>
      <c r="M328" s="75">
        <f t="shared" si="81"/>
        <v>149.9</v>
      </c>
      <c r="N328" s="75">
        <f t="shared" si="81"/>
        <v>150</v>
      </c>
      <c r="O328" s="75">
        <f t="shared" si="81"/>
        <v>149.9</v>
      </c>
    </row>
    <row r="329" spans="1:15" ht="15.75" x14ac:dyDescent="0.2">
      <c r="A329" s="385"/>
      <c r="B329" s="20" t="s">
        <v>58</v>
      </c>
      <c r="C329" s="2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23"/>
    </row>
    <row r="330" spans="1:15" ht="15.75" x14ac:dyDescent="0.2">
      <c r="A330" s="385"/>
      <c r="B330" s="20" t="s">
        <v>59</v>
      </c>
      <c r="C330" s="20"/>
      <c r="D330" s="75">
        <f t="shared" ref="D330:M330" si="82">SUM(D327+D326)</f>
        <v>150</v>
      </c>
      <c r="E330" s="75">
        <f t="shared" si="82"/>
        <v>150</v>
      </c>
      <c r="F330" s="75">
        <f t="shared" si="82"/>
        <v>0</v>
      </c>
      <c r="G330" s="75">
        <f t="shared" si="82"/>
        <v>0</v>
      </c>
      <c r="H330" s="75">
        <f t="shared" si="82"/>
        <v>0</v>
      </c>
      <c r="I330" s="75">
        <f t="shared" si="82"/>
        <v>0</v>
      </c>
      <c r="J330" s="75">
        <f t="shared" si="82"/>
        <v>150</v>
      </c>
      <c r="K330" s="75">
        <f t="shared" si="82"/>
        <v>0</v>
      </c>
      <c r="L330" s="75">
        <f t="shared" si="82"/>
        <v>0</v>
      </c>
      <c r="M330" s="75">
        <f t="shared" si="82"/>
        <v>149.9</v>
      </c>
      <c r="N330" s="140">
        <f>SUM(F330+H330+J330+L330)</f>
        <v>150</v>
      </c>
      <c r="O330" s="75">
        <f>SUM(O327+O326)</f>
        <v>149.9</v>
      </c>
    </row>
    <row r="331" spans="1:15" ht="31.5" x14ac:dyDescent="0.2">
      <c r="A331" s="5"/>
      <c r="B331" s="24" t="s">
        <v>61</v>
      </c>
      <c r="C331" s="24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40"/>
    </row>
    <row r="332" spans="1:15" ht="51.75" customHeight="1" x14ac:dyDescent="0.2">
      <c r="A332" s="374" t="s">
        <v>36</v>
      </c>
      <c r="B332" s="222" t="s">
        <v>83</v>
      </c>
      <c r="C332" s="222"/>
      <c r="D332" s="157">
        <v>2544</v>
      </c>
      <c r="E332" s="157">
        <v>2544</v>
      </c>
      <c r="F332" s="157">
        <v>194.3</v>
      </c>
      <c r="G332" s="157">
        <v>194.3</v>
      </c>
      <c r="H332" s="157">
        <v>713.3</v>
      </c>
      <c r="I332" s="157">
        <v>1107.5999999999999</v>
      </c>
      <c r="J332" s="157">
        <v>713.2</v>
      </c>
      <c r="K332" s="157">
        <v>514.20000000000005</v>
      </c>
      <c r="L332" s="157">
        <v>923.2</v>
      </c>
      <c r="M332" s="157">
        <v>687.7</v>
      </c>
      <c r="N332" s="139">
        <f>SUM(F332+H332+J332+L332)</f>
        <v>2544</v>
      </c>
      <c r="O332" s="241">
        <f>SUM(G332+I332+K332+M332)</f>
        <v>2503.8000000000002</v>
      </c>
    </row>
    <row r="333" spans="1:15" s="1" customFormat="1" ht="43.5" customHeight="1" x14ac:dyDescent="0.2">
      <c r="A333" s="5" t="s">
        <v>12</v>
      </c>
      <c r="B333" s="20"/>
      <c r="C333" s="20"/>
      <c r="D333" s="6">
        <f t="shared" ref="D333:O333" si="83">SUM(D332)</f>
        <v>2544</v>
      </c>
      <c r="E333" s="6">
        <f t="shared" si="83"/>
        <v>2544</v>
      </c>
      <c r="F333" s="6">
        <f t="shared" si="83"/>
        <v>194.3</v>
      </c>
      <c r="G333" s="6">
        <f t="shared" si="83"/>
        <v>194.3</v>
      </c>
      <c r="H333" s="6">
        <f t="shared" si="83"/>
        <v>713.3</v>
      </c>
      <c r="I333" s="6">
        <f t="shared" si="83"/>
        <v>1107.5999999999999</v>
      </c>
      <c r="J333" s="6">
        <f t="shared" si="83"/>
        <v>713.2</v>
      </c>
      <c r="K333" s="6">
        <f t="shared" si="83"/>
        <v>514.20000000000005</v>
      </c>
      <c r="L333" s="6">
        <f t="shared" si="83"/>
        <v>923.2</v>
      </c>
      <c r="M333" s="6">
        <f t="shared" si="83"/>
        <v>687.7</v>
      </c>
      <c r="N333" s="6">
        <f t="shared" si="83"/>
        <v>2544</v>
      </c>
      <c r="O333" s="124">
        <f t="shared" si="83"/>
        <v>2503.8000000000002</v>
      </c>
    </row>
    <row r="334" spans="1:15" s="1" customFormat="1" ht="25.5" customHeight="1" x14ac:dyDescent="0.2">
      <c r="A334" s="580"/>
      <c r="B334" s="20" t="s">
        <v>58</v>
      </c>
      <c r="C334" s="20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145"/>
    </row>
    <row r="335" spans="1:15" ht="33" customHeight="1" x14ac:dyDescent="0.2">
      <c r="A335" s="574"/>
      <c r="B335" s="20" t="s">
        <v>59</v>
      </c>
      <c r="C335" s="20"/>
      <c r="D335" s="6">
        <f t="shared" ref="D335:M335" si="84">SUM(D332)</f>
        <v>2544</v>
      </c>
      <c r="E335" s="6">
        <f t="shared" si="84"/>
        <v>2544</v>
      </c>
      <c r="F335" s="6">
        <f t="shared" si="84"/>
        <v>194.3</v>
      </c>
      <c r="G335" s="6">
        <f t="shared" si="84"/>
        <v>194.3</v>
      </c>
      <c r="H335" s="6">
        <f t="shared" si="84"/>
        <v>713.3</v>
      </c>
      <c r="I335" s="6">
        <f t="shared" si="84"/>
        <v>1107.5999999999999</v>
      </c>
      <c r="J335" s="6">
        <f t="shared" si="84"/>
        <v>713.2</v>
      </c>
      <c r="K335" s="6">
        <f t="shared" si="84"/>
        <v>514.20000000000005</v>
      </c>
      <c r="L335" s="6">
        <f t="shared" si="84"/>
        <v>923.2</v>
      </c>
      <c r="M335" s="6">
        <f t="shared" si="84"/>
        <v>687.7</v>
      </c>
      <c r="N335" s="6">
        <f>SUM(F335+H335+J335+L335)</f>
        <v>2544</v>
      </c>
      <c r="O335" s="146">
        <f>SUM(G335+I335+K335+M335)</f>
        <v>2503.8000000000002</v>
      </c>
    </row>
    <row r="336" spans="1:15" ht="33.75" customHeight="1" thickBot="1" x14ac:dyDescent="0.25">
      <c r="A336" s="642"/>
      <c r="B336" s="24" t="s">
        <v>61</v>
      </c>
      <c r="C336" s="24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28"/>
    </row>
    <row r="337" spans="1:15" ht="33.75" customHeight="1" x14ac:dyDescent="0.2">
      <c r="A337" s="36" t="s">
        <v>2</v>
      </c>
      <c r="B337" s="39"/>
      <c r="C337" s="39"/>
      <c r="D337" s="30">
        <f t="shared" ref="D337:O337" si="85">SUM(D333+D328+D322)</f>
        <v>4723.1000000000004</v>
      </c>
      <c r="E337" s="30">
        <f t="shared" si="85"/>
        <v>4723.1000000000004</v>
      </c>
      <c r="F337" s="30">
        <f t="shared" si="85"/>
        <v>424.8</v>
      </c>
      <c r="G337" s="30">
        <f t="shared" si="85"/>
        <v>424.8</v>
      </c>
      <c r="H337" s="30">
        <f t="shared" si="85"/>
        <v>1335.8</v>
      </c>
      <c r="I337" s="30">
        <f t="shared" si="85"/>
        <v>1725.5</v>
      </c>
      <c r="J337" s="30">
        <f t="shared" si="85"/>
        <v>1606.9</v>
      </c>
      <c r="K337" s="30">
        <f t="shared" si="85"/>
        <v>1470.3000000000002</v>
      </c>
      <c r="L337" s="30">
        <f t="shared" si="85"/>
        <v>1355.6</v>
      </c>
      <c r="M337" s="30">
        <f t="shared" si="85"/>
        <v>1062.0999999999999</v>
      </c>
      <c r="N337" s="30">
        <f t="shared" si="85"/>
        <v>4723.1000000000004</v>
      </c>
      <c r="O337" s="30">
        <f t="shared" si="85"/>
        <v>4682.7000000000007</v>
      </c>
    </row>
    <row r="338" spans="1:15" s="1" customFormat="1" ht="32.25" customHeight="1" x14ac:dyDescent="0.2">
      <c r="A338" s="643"/>
      <c r="B338" s="39" t="s">
        <v>58</v>
      </c>
      <c r="C338" s="3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47"/>
    </row>
    <row r="339" spans="1:15" s="1" customFormat="1" ht="32.25" customHeight="1" x14ac:dyDescent="0.2">
      <c r="A339" s="644"/>
      <c r="B339" s="39" t="s">
        <v>59</v>
      </c>
      <c r="C339" s="39"/>
      <c r="D339" s="135">
        <f>SUM(D335+D330+D324)</f>
        <v>4192</v>
      </c>
      <c r="E339" s="135">
        <f>SUM(E335+E330+E324)</f>
        <v>4192</v>
      </c>
      <c r="F339" s="30">
        <f t="shared" ref="F339:M339" si="86">SUM(F335+F330+F324)</f>
        <v>424.8</v>
      </c>
      <c r="G339" s="30">
        <f t="shared" si="86"/>
        <v>424.8</v>
      </c>
      <c r="H339" s="30">
        <f t="shared" si="86"/>
        <v>1335.8</v>
      </c>
      <c r="I339" s="30">
        <f t="shared" si="86"/>
        <v>1725.5</v>
      </c>
      <c r="J339" s="30">
        <f t="shared" si="86"/>
        <v>1075.8</v>
      </c>
      <c r="K339" s="30">
        <f t="shared" si="86"/>
        <v>939.2</v>
      </c>
      <c r="L339" s="30">
        <f t="shared" si="86"/>
        <v>1355.6</v>
      </c>
      <c r="M339" s="30">
        <f t="shared" si="86"/>
        <v>1062.0999999999999</v>
      </c>
      <c r="N339" s="30">
        <f>SUM(F339+H339+J339+L339)</f>
        <v>4192</v>
      </c>
      <c r="O339" s="135">
        <f>SUM(O335+O330+O324)</f>
        <v>4151.6000000000004</v>
      </c>
    </row>
    <row r="340" spans="1:15" s="1" customFormat="1" ht="32.25" customHeight="1" x14ac:dyDescent="0.2">
      <c r="A340" s="645"/>
      <c r="B340" s="51" t="s">
        <v>61</v>
      </c>
      <c r="C340" s="277"/>
      <c r="D340" s="135">
        <f>SUM(D336+D331+D325)</f>
        <v>531.1</v>
      </c>
      <c r="E340" s="135">
        <f>SUM(E336+E331+E325)</f>
        <v>531.1</v>
      </c>
      <c r="F340" s="27"/>
      <c r="G340" s="27"/>
      <c r="H340" s="135">
        <f>SUM(H336+H331+H325)</f>
        <v>0</v>
      </c>
      <c r="I340" s="135">
        <f>SUM(I336+I331+I325)</f>
        <v>0</v>
      </c>
      <c r="J340" s="135">
        <f>SUM(J336+J331+J325)</f>
        <v>531.1</v>
      </c>
      <c r="K340" s="135">
        <f>SUM(K336+K331+K325)</f>
        <v>531.1</v>
      </c>
      <c r="L340" s="27"/>
      <c r="M340" s="27"/>
      <c r="N340" s="135">
        <f>SUM(N336+N331+N325)</f>
        <v>531.1</v>
      </c>
      <c r="O340" s="135">
        <f>SUM(O336+O331+O325)</f>
        <v>531.1</v>
      </c>
    </row>
    <row r="341" spans="1:15" s="1" customFormat="1" ht="32.25" customHeight="1" x14ac:dyDescent="0.25">
      <c r="A341" s="629" t="s">
        <v>37</v>
      </c>
      <c r="B341" s="631"/>
      <c r="C341" s="631"/>
      <c r="D341" s="631"/>
      <c r="E341" s="631"/>
      <c r="F341" s="631"/>
      <c r="G341" s="631"/>
      <c r="H341" s="631"/>
      <c r="I341" s="631"/>
      <c r="J341" s="631"/>
      <c r="K341" s="631"/>
      <c r="L341" s="631"/>
      <c r="M341" s="631"/>
      <c r="N341" s="649"/>
      <c r="O341" s="649"/>
    </row>
    <row r="342" spans="1:15" s="1" customFormat="1" ht="22.5" customHeight="1" x14ac:dyDescent="0.25">
      <c r="A342" s="587" t="s">
        <v>38</v>
      </c>
      <c r="B342" s="308" t="s">
        <v>86</v>
      </c>
      <c r="C342" s="310"/>
      <c r="D342" s="306"/>
      <c r="E342" s="307"/>
      <c r="F342" s="307"/>
      <c r="G342" s="307"/>
      <c r="H342" s="307"/>
      <c r="I342" s="307"/>
      <c r="J342" s="307"/>
      <c r="K342" s="307"/>
      <c r="L342" s="307"/>
      <c r="M342" s="307"/>
      <c r="N342" s="303"/>
      <c r="O342" s="303"/>
    </row>
    <row r="343" spans="1:15" ht="34.5" customHeight="1" x14ac:dyDescent="0.25">
      <c r="A343" s="588"/>
      <c r="B343" s="308" t="s">
        <v>87</v>
      </c>
      <c r="C343" s="311"/>
      <c r="D343" s="306"/>
      <c r="E343" s="307"/>
      <c r="F343" s="307"/>
      <c r="G343" s="307"/>
      <c r="H343" s="307"/>
      <c r="I343" s="307"/>
      <c r="J343" s="307"/>
      <c r="K343" s="307"/>
      <c r="L343" s="307"/>
      <c r="M343" s="309"/>
      <c r="N343" s="313"/>
      <c r="O343" s="314"/>
    </row>
    <row r="344" spans="1:15" ht="67.5" customHeight="1" x14ac:dyDescent="0.25">
      <c r="A344" s="588"/>
      <c r="B344" s="386" t="s">
        <v>129</v>
      </c>
      <c r="C344" s="311"/>
      <c r="D344" s="306">
        <v>19808.5</v>
      </c>
      <c r="E344" s="307">
        <f>D344</f>
        <v>19808.5</v>
      </c>
      <c r="F344" s="307"/>
      <c r="G344" s="307"/>
      <c r="H344" s="307">
        <v>530</v>
      </c>
      <c r="I344" s="307">
        <v>530</v>
      </c>
      <c r="J344" s="307">
        <v>4733.6400000000003</v>
      </c>
      <c r="K344" s="307">
        <v>4733.6400000000003</v>
      </c>
      <c r="L344" s="307">
        <f>D344-I344-K344</f>
        <v>14544.86</v>
      </c>
      <c r="M344" s="309">
        <v>12010.46</v>
      </c>
      <c r="N344" s="346">
        <f t="shared" ref="N344:O350" si="87">SUM(F344+H344+J344+L344)</f>
        <v>19808.5</v>
      </c>
      <c r="O344" s="352">
        <f t="shared" si="87"/>
        <v>17274.099999999999</v>
      </c>
    </row>
    <row r="345" spans="1:15" ht="23.25" customHeight="1" x14ac:dyDescent="0.2">
      <c r="A345" s="588"/>
      <c r="B345" s="386" t="s">
        <v>59</v>
      </c>
      <c r="C345" s="601" t="s">
        <v>120</v>
      </c>
      <c r="D345" s="306">
        <v>2874.4</v>
      </c>
      <c r="E345" s="307">
        <f>D345</f>
        <v>2874.4</v>
      </c>
      <c r="F345" s="307"/>
      <c r="G345" s="307"/>
      <c r="H345" s="307">
        <v>530</v>
      </c>
      <c r="I345" s="307">
        <v>530</v>
      </c>
      <c r="J345" s="307">
        <v>426</v>
      </c>
      <c r="K345" s="307">
        <v>426</v>
      </c>
      <c r="L345" s="307">
        <f>D345-I345-K345</f>
        <v>1918.4</v>
      </c>
      <c r="M345" s="565">
        <v>1080.97</v>
      </c>
      <c r="N345" s="346">
        <f t="shared" si="87"/>
        <v>2874.4</v>
      </c>
      <c r="O345" s="226">
        <f t="shared" si="87"/>
        <v>2036.97</v>
      </c>
    </row>
    <row r="346" spans="1:15" ht="39.75" customHeight="1" x14ac:dyDescent="0.2">
      <c r="A346" s="588"/>
      <c r="B346" s="386" t="s">
        <v>61</v>
      </c>
      <c r="C346" s="574"/>
      <c r="D346" s="306">
        <v>16934.099999999999</v>
      </c>
      <c r="E346" s="307">
        <v>16934.099999999999</v>
      </c>
      <c r="F346" s="307"/>
      <c r="G346" s="307"/>
      <c r="H346" s="307"/>
      <c r="I346" s="307"/>
      <c r="J346" s="307">
        <v>4307.6400000000003</v>
      </c>
      <c r="K346" s="307">
        <f>K344-K345</f>
        <v>4307.6400000000003</v>
      </c>
      <c r="L346" s="307">
        <f>D346-K346</f>
        <v>12626.46</v>
      </c>
      <c r="M346" s="309">
        <v>10929.49</v>
      </c>
      <c r="N346" s="346">
        <f t="shared" si="87"/>
        <v>16934.099999999999</v>
      </c>
      <c r="O346" s="352">
        <f t="shared" si="87"/>
        <v>15237.130000000001</v>
      </c>
    </row>
    <row r="347" spans="1:15" ht="51" customHeight="1" x14ac:dyDescent="0.2">
      <c r="A347" s="588"/>
      <c r="B347" s="387" t="s">
        <v>118</v>
      </c>
      <c r="C347" s="574"/>
      <c r="D347" s="306"/>
      <c r="E347" s="307"/>
      <c r="F347" s="307"/>
      <c r="G347" s="307"/>
      <c r="H347" s="307"/>
      <c r="I347" s="307"/>
      <c r="J347" s="307"/>
      <c r="K347" s="354"/>
      <c r="L347" s="354"/>
      <c r="M347" s="355"/>
      <c r="N347" s="346">
        <f t="shared" si="87"/>
        <v>0</v>
      </c>
      <c r="O347" s="352">
        <f t="shared" si="87"/>
        <v>0</v>
      </c>
    </row>
    <row r="348" spans="1:15" ht="54" customHeight="1" x14ac:dyDescent="0.2">
      <c r="A348" s="588"/>
      <c r="B348" s="386" t="s">
        <v>178</v>
      </c>
      <c r="C348" s="574"/>
      <c r="D348" s="306">
        <v>1461</v>
      </c>
      <c r="E348" s="307">
        <f t="shared" ref="E348:E355" si="88">D348</f>
        <v>1461</v>
      </c>
      <c r="F348" s="307"/>
      <c r="G348" s="307"/>
      <c r="H348" s="306">
        <v>1461</v>
      </c>
      <c r="I348" s="566">
        <v>1455.85</v>
      </c>
      <c r="J348" s="307"/>
      <c r="K348" s="307"/>
      <c r="L348" s="307"/>
      <c r="M348" s="309"/>
      <c r="N348" s="346">
        <f t="shared" si="87"/>
        <v>1461</v>
      </c>
      <c r="O348" s="352">
        <f t="shared" si="87"/>
        <v>1455.85</v>
      </c>
    </row>
    <row r="349" spans="1:15" s="443" customFormat="1" ht="27.75" customHeight="1" x14ac:dyDescent="0.2">
      <c r="A349" s="588"/>
      <c r="B349" s="386" t="s">
        <v>59</v>
      </c>
      <c r="C349" s="574"/>
      <c r="D349" s="306">
        <v>136.1</v>
      </c>
      <c r="E349" s="307">
        <f t="shared" si="88"/>
        <v>136.1</v>
      </c>
      <c r="F349" s="307"/>
      <c r="G349" s="307"/>
      <c r="H349" s="306">
        <v>136.1</v>
      </c>
      <c r="I349" s="307">
        <v>131</v>
      </c>
      <c r="J349" s="307"/>
      <c r="K349" s="307"/>
      <c r="L349" s="307"/>
      <c r="M349" s="309"/>
      <c r="N349" s="346">
        <f t="shared" si="87"/>
        <v>136.1</v>
      </c>
      <c r="O349" s="352">
        <f t="shared" si="87"/>
        <v>131</v>
      </c>
    </row>
    <row r="350" spans="1:15" s="443" customFormat="1" ht="35.25" customHeight="1" x14ac:dyDescent="0.2">
      <c r="A350" s="588"/>
      <c r="B350" s="386" t="s">
        <v>61</v>
      </c>
      <c r="C350" s="574"/>
      <c r="D350" s="306">
        <v>1324.9</v>
      </c>
      <c r="E350" s="307">
        <f t="shared" si="88"/>
        <v>1324.9</v>
      </c>
      <c r="F350" s="307"/>
      <c r="G350" s="307"/>
      <c r="H350" s="306">
        <v>1324.9</v>
      </c>
      <c r="I350" s="566">
        <v>1324.85</v>
      </c>
      <c r="J350" s="307"/>
      <c r="K350" s="307"/>
      <c r="L350" s="307"/>
      <c r="M350" s="309"/>
      <c r="N350" s="346">
        <f t="shared" si="87"/>
        <v>1324.9</v>
      </c>
      <c r="O350" s="352">
        <f t="shared" si="87"/>
        <v>1324.85</v>
      </c>
    </row>
    <row r="351" spans="1:15" s="553" customFormat="1" ht="35.25" customHeight="1" x14ac:dyDescent="0.2">
      <c r="A351" s="588"/>
      <c r="B351" s="386" t="s">
        <v>139</v>
      </c>
      <c r="C351" s="574"/>
      <c r="D351" s="306">
        <v>603.29999999999995</v>
      </c>
      <c r="E351" s="307">
        <f t="shared" si="88"/>
        <v>603.29999999999995</v>
      </c>
      <c r="F351" s="307"/>
      <c r="G351" s="307"/>
      <c r="H351" s="306">
        <v>603.29999999999995</v>
      </c>
      <c r="I351" s="307">
        <v>603.20000000000005</v>
      </c>
      <c r="J351" s="307"/>
      <c r="K351" s="307"/>
      <c r="L351" s="307"/>
      <c r="M351" s="309"/>
      <c r="N351" s="306">
        <v>603.29999999999995</v>
      </c>
      <c r="O351" s="307">
        <v>603.20000000000005</v>
      </c>
    </row>
    <row r="352" spans="1:15" s="553" customFormat="1" ht="27" customHeight="1" x14ac:dyDescent="0.2">
      <c r="A352" s="588"/>
      <c r="B352" s="386" t="s">
        <v>59</v>
      </c>
      <c r="C352" s="574"/>
      <c r="D352" s="306">
        <v>54.3</v>
      </c>
      <c r="E352" s="307">
        <f t="shared" si="88"/>
        <v>54.3</v>
      </c>
      <c r="F352" s="307"/>
      <c r="G352" s="307"/>
      <c r="H352" s="306">
        <v>54.3</v>
      </c>
      <c r="I352" s="307">
        <v>54.3</v>
      </c>
      <c r="J352" s="307"/>
      <c r="K352" s="307"/>
      <c r="L352" s="307"/>
      <c r="M352" s="309"/>
      <c r="N352" s="306">
        <v>54.3</v>
      </c>
      <c r="O352" s="306">
        <v>54.3</v>
      </c>
    </row>
    <row r="353" spans="1:15" s="553" customFormat="1" ht="35.25" customHeight="1" x14ac:dyDescent="0.2">
      <c r="A353" s="588"/>
      <c r="B353" s="386" t="s">
        <v>61</v>
      </c>
      <c r="C353" s="574"/>
      <c r="D353" s="306">
        <v>549</v>
      </c>
      <c r="E353" s="307">
        <f t="shared" si="88"/>
        <v>549</v>
      </c>
      <c r="F353" s="307"/>
      <c r="G353" s="307"/>
      <c r="H353" s="306">
        <v>549</v>
      </c>
      <c r="I353" s="306">
        <v>549</v>
      </c>
      <c r="J353" s="307"/>
      <c r="K353" s="307"/>
      <c r="L353" s="307"/>
      <c r="M353" s="309"/>
      <c r="N353" s="306">
        <v>549</v>
      </c>
      <c r="O353" s="306">
        <v>549</v>
      </c>
    </row>
    <row r="354" spans="1:15" s="553" customFormat="1" ht="35.25" customHeight="1" x14ac:dyDescent="0.2">
      <c r="A354" s="588"/>
      <c r="B354" s="386" t="s">
        <v>130</v>
      </c>
      <c r="C354" s="574"/>
      <c r="D354" s="306">
        <v>580</v>
      </c>
      <c r="E354" s="306">
        <f t="shared" si="88"/>
        <v>580</v>
      </c>
      <c r="F354" s="307"/>
      <c r="G354" s="307"/>
      <c r="H354" s="306">
        <v>580</v>
      </c>
      <c r="I354" s="306">
        <v>580</v>
      </c>
      <c r="J354" s="307"/>
      <c r="K354" s="307"/>
      <c r="L354" s="307"/>
      <c r="M354" s="309"/>
      <c r="N354" s="567">
        <v>580</v>
      </c>
      <c r="O354" s="567">
        <v>580</v>
      </c>
    </row>
    <row r="355" spans="1:15" s="553" customFormat="1" ht="81.75" customHeight="1" x14ac:dyDescent="0.2">
      <c r="A355" s="588"/>
      <c r="B355" s="386" t="s">
        <v>209</v>
      </c>
      <c r="C355" s="574"/>
      <c r="D355" s="306">
        <v>1648.4</v>
      </c>
      <c r="E355" s="306">
        <f t="shared" si="88"/>
        <v>1648.4</v>
      </c>
      <c r="F355" s="307"/>
      <c r="G355" s="307"/>
      <c r="H355" s="306"/>
      <c r="I355" s="306"/>
      <c r="J355" s="307"/>
      <c r="K355" s="307"/>
      <c r="L355" s="307">
        <v>1648.4</v>
      </c>
      <c r="M355" s="309">
        <v>1523</v>
      </c>
      <c r="N355" s="307">
        <v>1648.4</v>
      </c>
      <c r="O355" s="309">
        <v>1523</v>
      </c>
    </row>
    <row r="356" spans="1:15" s="553" customFormat="1" ht="21" customHeight="1" x14ac:dyDescent="0.2">
      <c r="A356" s="588"/>
      <c r="B356" s="386" t="s">
        <v>59</v>
      </c>
      <c r="C356" s="574"/>
      <c r="D356" s="306">
        <v>148.4</v>
      </c>
      <c r="E356" s="306">
        <v>148.4</v>
      </c>
      <c r="F356" s="307"/>
      <c r="G356" s="307"/>
      <c r="H356" s="306"/>
      <c r="I356" s="306"/>
      <c r="J356" s="307"/>
      <c r="K356" s="307"/>
      <c r="L356" s="307">
        <v>148.4</v>
      </c>
      <c r="M356" s="309">
        <v>137.1</v>
      </c>
      <c r="N356" s="307">
        <v>148.4</v>
      </c>
      <c r="O356" s="309">
        <v>137.1</v>
      </c>
    </row>
    <row r="357" spans="1:15" s="553" customFormat="1" ht="35.25" customHeight="1" x14ac:dyDescent="0.2">
      <c r="A357" s="588"/>
      <c r="B357" s="386" t="s">
        <v>61</v>
      </c>
      <c r="C357" s="574"/>
      <c r="D357" s="306">
        <v>1500</v>
      </c>
      <c r="E357" s="306">
        <v>1500</v>
      </c>
      <c r="F357" s="307"/>
      <c r="G357" s="307"/>
      <c r="H357" s="306"/>
      <c r="I357" s="306"/>
      <c r="J357" s="307"/>
      <c r="K357" s="307"/>
      <c r="L357" s="307">
        <v>1500</v>
      </c>
      <c r="M357" s="309">
        <v>1385.9</v>
      </c>
      <c r="N357" s="307">
        <v>1500</v>
      </c>
      <c r="O357" s="307">
        <v>1385.9</v>
      </c>
    </row>
    <row r="358" spans="1:15" s="553" customFormat="1" ht="51.75" customHeight="1" x14ac:dyDescent="0.2">
      <c r="A358" s="588"/>
      <c r="B358" s="386" t="s">
        <v>210</v>
      </c>
      <c r="C358" s="574"/>
      <c r="D358" s="306">
        <v>1076</v>
      </c>
      <c r="E358" s="306">
        <v>1076</v>
      </c>
      <c r="F358" s="307"/>
      <c r="G358" s="307"/>
      <c r="H358" s="306"/>
      <c r="I358" s="306"/>
      <c r="J358" s="307"/>
      <c r="K358" s="307"/>
      <c r="L358" s="307">
        <v>1076</v>
      </c>
      <c r="M358" s="309">
        <v>774</v>
      </c>
      <c r="N358" s="567">
        <v>1076</v>
      </c>
      <c r="O358" s="568">
        <v>774</v>
      </c>
    </row>
    <row r="359" spans="1:15" ht="39.75" customHeight="1" x14ac:dyDescent="0.2">
      <c r="A359" s="588"/>
      <c r="B359" s="386" t="s">
        <v>179</v>
      </c>
      <c r="C359" s="574"/>
      <c r="D359" s="306">
        <v>1392.9</v>
      </c>
      <c r="E359" s="306">
        <v>1392.9</v>
      </c>
      <c r="F359" s="307"/>
      <c r="G359" s="307"/>
      <c r="H359" s="307"/>
      <c r="I359" s="307"/>
      <c r="J359" s="307">
        <v>540.70000000000005</v>
      </c>
      <c r="K359" s="354">
        <v>540.70000000000005</v>
      </c>
      <c r="L359" s="354">
        <v>852.2</v>
      </c>
      <c r="M359" s="355">
        <v>568.1</v>
      </c>
      <c r="N359" s="346">
        <f t="shared" ref="N359:O361" si="89">SUM(F359+H359+J359+L359)</f>
        <v>1392.9</v>
      </c>
      <c r="O359" s="352">
        <f t="shared" si="89"/>
        <v>1108.8000000000002</v>
      </c>
    </row>
    <row r="360" spans="1:15" ht="35.25" customHeight="1" x14ac:dyDescent="0.2">
      <c r="A360" s="588"/>
      <c r="B360" s="386" t="s">
        <v>180</v>
      </c>
      <c r="C360" s="574"/>
      <c r="D360" s="306">
        <v>598</v>
      </c>
      <c r="E360" s="307">
        <v>598</v>
      </c>
      <c r="F360" s="307"/>
      <c r="G360" s="307"/>
      <c r="H360" s="307"/>
      <c r="I360" s="307"/>
      <c r="J360" s="307">
        <v>598</v>
      </c>
      <c r="K360" s="354"/>
      <c r="L360" s="354"/>
      <c r="M360" s="355"/>
      <c r="N360" s="346">
        <f t="shared" si="89"/>
        <v>598</v>
      </c>
      <c r="O360" s="352">
        <f t="shared" si="89"/>
        <v>0</v>
      </c>
    </row>
    <row r="361" spans="1:15" s="305" customFormat="1" ht="49.5" customHeight="1" x14ac:dyDescent="0.2">
      <c r="A361" s="589"/>
      <c r="B361" s="386" t="s">
        <v>181</v>
      </c>
      <c r="C361" s="574"/>
      <c r="D361" s="306">
        <v>120</v>
      </c>
      <c r="E361" s="307">
        <v>120</v>
      </c>
      <c r="F361" s="307"/>
      <c r="G361" s="307"/>
      <c r="H361" s="307">
        <v>120</v>
      </c>
      <c r="I361" s="307">
        <v>120</v>
      </c>
      <c r="J361" s="307"/>
      <c r="K361" s="354"/>
      <c r="L361" s="354"/>
      <c r="M361" s="355"/>
      <c r="N361" s="346">
        <f t="shared" si="89"/>
        <v>120</v>
      </c>
      <c r="O361" s="352">
        <f t="shared" si="89"/>
        <v>120</v>
      </c>
    </row>
    <row r="362" spans="1:15" ht="38.25" customHeight="1" x14ac:dyDescent="0.2">
      <c r="A362" s="5" t="s">
        <v>12</v>
      </c>
      <c r="B362" s="20"/>
      <c r="C362" s="78"/>
      <c r="D362" s="48">
        <f t="shared" ref="D362:O362" si="90">SUM(D361+D360+D359+D348+D344+D358+D355+D354+D351)</f>
        <v>27288.100000000002</v>
      </c>
      <c r="E362" s="48">
        <f t="shared" si="90"/>
        <v>27288.100000000002</v>
      </c>
      <c r="F362" s="48">
        <f t="shared" si="90"/>
        <v>0</v>
      </c>
      <c r="G362" s="48">
        <f t="shared" si="90"/>
        <v>0</v>
      </c>
      <c r="H362" s="48">
        <f t="shared" si="90"/>
        <v>3294.3</v>
      </c>
      <c r="I362" s="48">
        <f t="shared" si="90"/>
        <v>3289.05</v>
      </c>
      <c r="J362" s="48">
        <f t="shared" si="90"/>
        <v>5872.34</v>
      </c>
      <c r="K362" s="48">
        <f t="shared" si="90"/>
        <v>5274.34</v>
      </c>
      <c r="L362" s="48">
        <f t="shared" si="90"/>
        <v>18121.460000000003</v>
      </c>
      <c r="M362" s="48">
        <f t="shared" si="90"/>
        <v>14875.56</v>
      </c>
      <c r="N362" s="48">
        <f t="shared" si="90"/>
        <v>27288.100000000002</v>
      </c>
      <c r="O362" s="48">
        <f t="shared" si="90"/>
        <v>23438.95</v>
      </c>
    </row>
    <row r="363" spans="1:15" ht="28.5" customHeight="1" thickBot="1" x14ac:dyDescent="0.25">
      <c r="A363" s="92"/>
      <c r="B363" s="20" t="s">
        <v>58</v>
      </c>
      <c r="C363" s="278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3"/>
      <c r="O363" s="128"/>
    </row>
    <row r="364" spans="1:15" s="1" customFormat="1" ht="33" customHeight="1" x14ac:dyDescent="0.2">
      <c r="A364" s="92"/>
      <c r="B364" s="20" t="s">
        <v>59</v>
      </c>
      <c r="C364" s="278"/>
      <c r="D364" s="48">
        <f t="shared" ref="D364:O364" si="91">SUM(D361+D360+D359+D358+D356+D354+D352+D349+D345)</f>
        <v>6980.1</v>
      </c>
      <c r="E364" s="48">
        <f t="shared" si="91"/>
        <v>6980.1</v>
      </c>
      <c r="F364" s="48">
        <f t="shared" si="91"/>
        <v>0</v>
      </c>
      <c r="G364" s="48">
        <f t="shared" si="91"/>
        <v>0</v>
      </c>
      <c r="H364" s="48">
        <f t="shared" si="91"/>
        <v>1420.4</v>
      </c>
      <c r="I364" s="48">
        <f t="shared" si="91"/>
        <v>1415.3</v>
      </c>
      <c r="J364" s="48">
        <f t="shared" si="91"/>
        <v>1564.7</v>
      </c>
      <c r="K364" s="48">
        <f t="shared" si="91"/>
        <v>966.7</v>
      </c>
      <c r="L364" s="48">
        <f t="shared" si="91"/>
        <v>3995</v>
      </c>
      <c r="M364" s="48">
        <f t="shared" si="91"/>
        <v>2560.17</v>
      </c>
      <c r="N364" s="48">
        <f t="shared" si="91"/>
        <v>6980.1</v>
      </c>
      <c r="O364" s="48">
        <f t="shared" si="91"/>
        <v>4942.17</v>
      </c>
    </row>
    <row r="365" spans="1:15" s="1" customFormat="1" ht="37.5" customHeight="1" x14ac:dyDescent="0.2">
      <c r="A365" s="92"/>
      <c r="B365" s="24" t="s">
        <v>61</v>
      </c>
      <c r="C365" s="279"/>
      <c r="D365" s="569">
        <f t="shared" ref="D365:O365" si="92">SUM(D357+D353+D350+D346)</f>
        <v>20308</v>
      </c>
      <c r="E365" s="569">
        <f t="shared" si="92"/>
        <v>20308</v>
      </c>
      <c r="F365" s="569">
        <f t="shared" si="92"/>
        <v>0</v>
      </c>
      <c r="G365" s="569">
        <f t="shared" si="92"/>
        <v>0</v>
      </c>
      <c r="H365" s="569">
        <f t="shared" si="92"/>
        <v>1873.9</v>
      </c>
      <c r="I365" s="569">
        <f t="shared" si="92"/>
        <v>1873.85</v>
      </c>
      <c r="J365" s="569">
        <f t="shared" si="92"/>
        <v>4307.6400000000003</v>
      </c>
      <c r="K365" s="569">
        <f t="shared" si="92"/>
        <v>4307.6400000000003</v>
      </c>
      <c r="L365" s="569">
        <f t="shared" si="92"/>
        <v>14126.46</v>
      </c>
      <c r="M365" s="569">
        <f t="shared" si="92"/>
        <v>12315.39</v>
      </c>
      <c r="N365" s="569">
        <f t="shared" si="92"/>
        <v>20308</v>
      </c>
      <c r="O365" s="569">
        <f t="shared" si="92"/>
        <v>18496.88</v>
      </c>
    </row>
    <row r="366" spans="1:15" ht="27" customHeight="1" x14ac:dyDescent="0.2">
      <c r="A366" s="28" t="s">
        <v>2</v>
      </c>
      <c r="B366" s="39"/>
      <c r="C366" s="39"/>
      <c r="D366" s="50">
        <f t="shared" ref="D366:O366" si="93">SUM(D362)</f>
        <v>27288.100000000002</v>
      </c>
      <c r="E366" s="50">
        <f t="shared" si="93"/>
        <v>27288.100000000002</v>
      </c>
      <c r="F366" s="50">
        <f t="shared" si="93"/>
        <v>0</v>
      </c>
      <c r="G366" s="50">
        <f t="shared" si="93"/>
        <v>0</v>
      </c>
      <c r="H366" s="50">
        <f t="shared" si="93"/>
        <v>3294.3</v>
      </c>
      <c r="I366" s="50">
        <f t="shared" si="93"/>
        <v>3289.05</v>
      </c>
      <c r="J366" s="50">
        <f t="shared" si="93"/>
        <v>5872.34</v>
      </c>
      <c r="K366" s="50">
        <f t="shared" si="93"/>
        <v>5274.34</v>
      </c>
      <c r="L366" s="50">
        <f t="shared" si="93"/>
        <v>18121.460000000003</v>
      </c>
      <c r="M366" s="50">
        <f t="shared" si="93"/>
        <v>14875.56</v>
      </c>
      <c r="N366" s="50">
        <f t="shared" si="93"/>
        <v>27288.100000000002</v>
      </c>
      <c r="O366" s="50">
        <f t="shared" si="93"/>
        <v>23438.95</v>
      </c>
    </row>
    <row r="367" spans="1:15" s="1" customFormat="1" ht="32.25" customHeight="1" x14ac:dyDescent="0.2">
      <c r="A367" s="28"/>
      <c r="B367" s="39" t="s">
        <v>58</v>
      </c>
      <c r="C367" s="39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63"/>
    </row>
    <row r="368" spans="1:15" s="1" customFormat="1" ht="31.5" customHeight="1" x14ac:dyDescent="0.2">
      <c r="A368" s="28"/>
      <c r="B368" s="39" t="s">
        <v>59</v>
      </c>
      <c r="C368" s="39"/>
      <c r="D368" s="50">
        <f t="shared" ref="D368:M368" si="94">SUM(D364)</f>
        <v>6980.1</v>
      </c>
      <c r="E368" s="50">
        <f t="shared" si="94"/>
        <v>6980.1</v>
      </c>
      <c r="F368" s="50">
        <f t="shared" si="94"/>
        <v>0</v>
      </c>
      <c r="G368" s="50">
        <f t="shared" si="94"/>
        <v>0</v>
      </c>
      <c r="H368" s="50">
        <f t="shared" si="94"/>
        <v>1420.4</v>
      </c>
      <c r="I368" s="50">
        <f t="shared" si="94"/>
        <v>1415.3</v>
      </c>
      <c r="J368" s="50">
        <f t="shared" si="94"/>
        <v>1564.7</v>
      </c>
      <c r="K368" s="50">
        <f t="shared" si="94"/>
        <v>966.7</v>
      </c>
      <c r="L368" s="50">
        <f t="shared" si="94"/>
        <v>3995</v>
      </c>
      <c r="M368" s="50">
        <f t="shared" si="94"/>
        <v>2560.17</v>
      </c>
      <c r="N368" s="50">
        <f>SUM(F368+H368+J368+L368)</f>
        <v>6980.1</v>
      </c>
      <c r="O368" s="50">
        <f>SUM(G368+I368+K368+M368)</f>
        <v>4942.17</v>
      </c>
    </row>
    <row r="369" spans="1:15" s="1" customFormat="1" ht="30" customHeight="1" x14ac:dyDescent="0.2">
      <c r="A369" s="28"/>
      <c r="B369" s="51" t="s">
        <v>61</v>
      </c>
      <c r="C369" s="51"/>
      <c r="D369" s="50">
        <f t="shared" ref="D369:M369" si="95">SUM(D365)</f>
        <v>20308</v>
      </c>
      <c r="E369" s="50">
        <f t="shared" si="95"/>
        <v>20308</v>
      </c>
      <c r="F369" s="50">
        <f t="shared" si="95"/>
        <v>0</v>
      </c>
      <c r="G369" s="50">
        <f t="shared" si="95"/>
        <v>0</v>
      </c>
      <c r="H369" s="50">
        <f t="shared" si="95"/>
        <v>1873.9</v>
      </c>
      <c r="I369" s="50">
        <f t="shared" si="95"/>
        <v>1873.85</v>
      </c>
      <c r="J369" s="50">
        <f t="shared" si="95"/>
        <v>4307.6400000000003</v>
      </c>
      <c r="K369" s="50">
        <f t="shared" si="95"/>
        <v>4307.6400000000003</v>
      </c>
      <c r="L369" s="50">
        <f t="shared" si="95"/>
        <v>14126.46</v>
      </c>
      <c r="M369" s="50">
        <f t="shared" si="95"/>
        <v>12315.39</v>
      </c>
      <c r="N369" s="50">
        <f>SUM(N365)</f>
        <v>20308</v>
      </c>
      <c r="O369" s="50">
        <f>SUM(O365)</f>
        <v>18496.88</v>
      </c>
    </row>
    <row r="370" spans="1:15" s="1" customFormat="1" ht="24.75" customHeight="1" x14ac:dyDescent="0.2">
      <c r="A370" s="637" t="s">
        <v>39</v>
      </c>
      <c r="B370" s="638"/>
      <c r="C370" s="639"/>
      <c r="D370" s="639"/>
      <c r="E370" s="639"/>
      <c r="F370" s="639"/>
      <c r="G370" s="639"/>
      <c r="H370" s="639"/>
      <c r="I370" s="639"/>
      <c r="J370" s="639"/>
      <c r="K370" s="639"/>
      <c r="L370" s="639"/>
      <c r="M370" s="639"/>
      <c r="N370" s="640"/>
      <c r="O370" s="353"/>
    </row>
    <row r="371" spans="1:15" s="1" customFormat="1" ht="37.5" customHeight="1" x14ac:dyDescent="0.25">
      <c r="A371" s="705" t="s">
        <v>40</v>
      </c>
      <c r="B371" s="706" t="s">
        <v>84</v>
      </c>
      <c r="C371" s="706"/>
      <c r="D371" s="683">
        <v>26695.7</v>
      </c>
      <c r="E371" s="683">
        <v>26695.7</v>
      </c>
      <c r="F371" s="684">
        <v>6116.4</v>
      </c>
      <c r="G371" s="684">
        <v>6116.4</v>
      </c>
      <c r="H371" s="684">
        <v>6729.8</v>
      </c>
      <c r="I371" s="684">
        <v>6308.2</v>
      </c>
      <c r="J371" s="684">
        <v>7119.7</v>
      </c>
      <c r="K371" s="684">
        <v>7320.3</v>
      </c>
      <c r="L371" s="684">
        <v>6729.7</v>
      </c>
      <c r="M371" s="684">
        <v>6880.2</v>
      </c>
      <c r="N371" s="683">
        <f t="shared" ref="N371:N375" si="96">SUM(F371+H371+J371+L371)</f>
        <v>26695.600000000002</v>
      </c>
      <c r="O371" s="683">
        <f>SUM(G371+I371+K371+M371)</f>
        <v>26625.1</v>
      </c>
    </row>
    <row r="372" spans="1:15" ht="45" x14ac:dyDescent="0.25">
      <c r="A372" s="579"/>
      <c r="B372" s="706" t="s">
        <v>217</v>
      </c>
      <c r="C372" s="706"/>
      <c r="D372" s="228">
        <v>12.4</v>
      </c>
      <c r="E372" s="228">
        <v>12.4</v>
      </c>
      <c r="F372" s="229">
        <v>12.4</v>
      </c>
      <c r="G372" s="388">
        <v>3</v>
      </c>
      <c r="H372" s="229"/>
      <c r="I372" s="229">
        <v>4</v>
      </c>
      <c r="J372" s="229"/>
      <c r="K372" s="229"/>
      <c r="L372" s="230"/>
      <c r="M372" s="229">
        <v>5.4</v>
      </c>
      <c r="N372" s="231">
        <f t="shared" si="96"/>
        <v>12.4</v>
      </c>
      <c r="O372" s="231">
        <f t="shared" ref="O372:O375" si="97">SUM(G372+I372+K372+M372)</f>
        <v>12.4</v>
      </c>
    </row>
    <row r="373" spans="1:15" ht="57" customHeight="1" x14ac:dyDescent="0.25">
      <c r="A373" s="579"/>
      <c r="B373" s="706" t="s">
        <v>47</v>
      </c>
      <c r="C373" s="706"/>
      <c r="D373" s="227">
        <v>28364.7</v>
      </c>
      <c r="E373" s="227">
        <v>28364.7</v>
      </c>
      <c r="F373" s="180">
        <v>6102.3</v>
      </c>
      <c r="G373" s="180">
        <v>6102.3</v>
      </c>
      <c r="H373" s="180">
        <v>7396.3</v>
      </c>
      <c r="I373" s="180">
        <v>6959.3</v>
      </c>
      <c r="J373" s="180">
        <v>7396.4</v>
      </c>
      <c r="K373" s="180">
        <v>6257.7</v>
      </c>
      <c r="L373" s="180">
        <v>7469.7</v>
      </c>
      <c r="M373" s="180">
        <v>7732.5</v>
      </c>
      <c r="N373" s="227">
        <f t="shared" si="96"/>
        <v>28364.7</v>
      </c>
      <c r="O373" s="227">
        <f t="shared" si="97"/>
        <v>27051.8</v>
      </c>
    </row>
    <row r="374" spans="1:15" s="443" customFormat="1" ht="57" customHeight="1" x14ac:dyDescent="0.25">
      <c r="A374" s="579"/>
      <c r="B374" s="706" t="s">
        <v>183</v>
      </c>
      <c r="C374" s="706"/>
      <c r="D374" s="227">
        <v>935.3</v>
      </c>
      <c r="E374" s="227">
        <v>935.3</v>
      </c>
      <c r="F374" s="180"/>
      <c r="G374" s="180"/>
      <c r="H374" s="180"/>
      <c r="I374" s="180"/>
      <c r="J374" s="227">
        <v>935.3</v>
      </c>
      <c r="K374" s="180">
        <v>356.8</v>
      </c>
      <c r="L374" s="180"/>
      <c r="M374" s="180">
        <v>567.70000000000005</v>
      </c>
      <c r="N374" s="227">
        <f t="shared" si="96"/>
        <v>935.3</v>
      </c>
      <c r="O374" s="227">
        <f t="shared" si="97"/>
        <v>924.5</v>
      </c>
    </row>
    <row r="375" spans="1:15" ht="66" customHeight="1" x14ac:dyDescent="0.25">
      <c r="A375" s="579"/>
      <c r="B375" s="706" t="s">
        <v>49</v>
      </c>
      <c r="C375" s="706"/>
      <c r="D375" s="227">
        <v>7120.9</v>
      </c>
      <c r="E375" s="227">
        <v>7120.9</v>
      </c>
      <c r="F375" s="180">
        <v>1809.7</v>
      </c>
      <c r="G375" s="180">
        <v>1809.7</v>
      </c>
      <c r="H375" s="180">
        <v>1914.8</v>
      </c>
      <c r="I375" s="180">
        <v>1878.9</v>
      </c>
      <c r="J375" s="180">
        <v>1914.7</v>
      </c>
      <c r="K375" s="180">
        <v>1848.6</v>
      </c>
      <c r="L375" s="180">
        <v>1481.7</v>
      </c>
      <c r="M375" s="180">
        <v>1565.3</v>
      </c>
      <c r="N375" s="227">
        <f t="shared" si="96"/>
        <v>7120.9</v>
      </c>
      <c r="O375" s="227">
        <f t="shared" si="97"/>
        <v>7102.5000000000009</v>
      </c>
    </row>
    <row r="376" spans="1:15" ht="51.75" customHeight="1" x14ac:dyDescent="0.2">
      <c r="A376" s="336" t="s">
        <v>12</v>
      </c>
      <c r="B376" s="699"/>
      <c r="C376" s="699"/>
      <c r="D376" s="13">
        <f>SUM(D375+D373+D372+D371+D374)</f>
        <v>63129</v>
      </c>
      <c r="E376" s="13">
        <f>SUM(E375+E373+E372+E371+E374)</f>
        <v>63129</v>
      </c>
      <c r="F376" s="13">
        <f>SUM(F375+F373+F372+F371+F374)</f>
        <v>14040.8</v>
      </c>
      <c r="G376" s="13">
        <f>SUM(G375+G373+G372+G371+G374)</f>
        <v>14031.4</v>
      </c>
      <c r="H376" s="13">
        <f>SUM(H375+H373+H372+H371+H374)</f>
        <v>16040.900000000001</v>
      </c>
      <c r="I376" s="13">
        <f>SUM(I375+I373+I372+I371+I374)</f>
        <v>15150.400000000001</v>
      </c>
      <c r="J376" s="13">
        <f>SUM(J375+J373+J372+J371+J374)</f>
        <v>17366.099999999999</v>
      </c>
      <c r="K376" s="13">
        <f>SUM(K375+K373+K372+K371+K374)</f>
        <v>15783.399999999998</v>
      </c>
      <c r="L376" s="13">
        <f>SUM(L375+L373+L372+L371+L374)</f>
        <v>15681.099999999999</v>
      </c>
      <c r="M376" s="13">
        <f>SUM(M375+M373+M372+M371+M374)</f>
        <v>16751.099999999999</v>
      </c>
      <c r="N376" s="13">
        <f>SUM(N375+N373+N372+N371+N374)</f>
        <v>63128.900000000009</v>
      </c>
      <c r="O376" s="13">
        <f>SUM(O375+O373+O372+O371+O374)</f>
        <v>61716.3</v>
      </c>
    </row>
    <row r="377" spans="1:15" ht="26.25" customHeight="1" x14ac:dyDescent="0.2">
      <c r="A377" s="686"/>
      <c r="B377" s="699" t="s">
        <v>58</v>
      </c>
      <c r="C377" s="699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685"/>
    </row>
    <row r="378" spans="1:15" s="1" customFormat="1" ht="34.5" customHeight="1" x14ac:dyDescent="0.2">
      <c r="A378" s="686"/>
      <c r="B378" s="699" t="s">
        <v>59</v>
      </c>
      <c r="C378" s="699"/>
      <c r="D378" s="13">
        <f>SUM(D375+D373+D371+D374)</f>
        <v>63116.600000000006</v>
      </c>
      <c r="E378" s="13">
        <f>SUM(E375+E373+E371+E374)</f>
        <v>63116.600000000006</v>
      </c>
      <c r="F378" s="13">
        <f>SUM(F375+F373+F371+F374)</f>
        <v>14028.4</v>
      </c>
      <c r="G378" s="13">
        <f>SUM(G375+G373+G371+G374)</f>
        <v>14028.4</v>
      </c>
      <c r="H378" s="13">
        <f>SUM(H375+H373+H371+H374)</f>
        <v>16040.900000000001</v>
      </c>
      <c r="I378" s="13">
        <f>SUM(I375+I373+I371+I374)</f>
        <v>15146.400000000001</v>
      </c>
      <c r="J378" s="13">
        <f>SUM(J375+J373+J371+J374)</f>
        <v>17366.099999999999</v>
      </c>
      <c r="K378" s="13">
        <f>SUM(K375+K373+K371+K374)</f>
        <v>15783.399999999998</v>
      </c>
      <c r="L378" s="13">
        <f>SUM(L375+L373+L371+L374)</f>
        <v>15681.099999999999</v>
      </c>
      <c r="M378" s="13">
        <f>SUM(M375+M373+M371+M374)</f>
        <v>16745.7</v>
      </c>
      <c r="N378" s="13">
        <f>SUM(N375+N373+N371+N374)</f>
        <v>63116.5</v>
      </c>
      <c r="O378" s="13">
        <f>SUM(O375+O373+O371+O374)</f>
        <v>61703.9</v>
      </c>
    </row>
    <row r="379" spans="1:15" s="1" customFormat="1" ht="32.25" customHeight="1" x14ac:dyDescent="0.2">
      <c r="A379" s="686"/>
      <c r="B379" s="700" t="s">
        <v>61</v>
      </c>
      <c r="C379" s="700"/>
      <c r="D379" s="13">
        <f>SUM(D372)</f>
        <v>12.4</v>
      </c>
      <c r="E379" s="13">
        <f>SUM(E372)</f>
        <v>12.4</v>
      </c>
      <c r="F379" s="13">
        <f>SUM(F372)</f>
        <v>12.4</v>
      </c>
      <c r="G379" s="13">
        <f>SUM(G372)</f>
        <v>3</v>
      </c>
      <c r="H379" s="13">
        <f>SUM(H372)</f>
        <v>0</v>
      </c>
      <c r="I379" s="13">
        <f>SUM(I372)</f>
        <v>4</v>
      </c>
      <c r="J379" s="13">
        <f>SUM(J372)</f>
        <v>0</v>
      </c>
      <c r="K379" s="13">
        <f>SUM(K372)</f>
        <v>0</v>
      </c>
      <c r="L379" s="13">
        <f>SUM(L372)</f>
        <v>0</v>
      </c>
      <c r="M379" s="13">
        <f>SUM(M372)</f>
        <v>5.4</v>
      </c>
      <c r="N379" s="356">
        <f>SUM(N372)</f>
        <v>12.4</v>
      </c>
      <c r="O379" s="356">
        <f>SUM(O372)</f>
        <v>12.4</v>
      </c>
    </row>
    <row r="380" spans="1:15" s="1" customFormat="1" ht="32.25" customHeight="1" x14ac:dyDescent="0.25">
      <c r="A380" s="613" t="s">
        <v>41</v>
      </c>
      <c r="B380" s="521" t="s">
        <v>52</v>
      </c>
      <c r="C380" s="260"/>
      <c r="D380" s="522">
        <v>20418.900000000001</v>
      </c>
      <c r="E380" s="522">
        <v>20418.900000000001</v>
      </c>
      <c r="F380" s="360"/>
      <c r="G380" s="361"/>
      <c r="H380" s="360"/>
      <c r="I380" s="360"/>
      <c r="J380" s="359"/>
      <c r="K380" s="361"/>
      <c r="L380" s="522">
        <v>20418.900000000001</v>
      </c>
      <c r="M380" s="360"/>
      <c r="N380" s="162">
        <f>SUM(F380+H380+J380+L380)</f>
        <v>20418.900000000001</v>
      </c>
      <c r="O380" s="163">
        <f>SUM(G380+I380+K380+M380)</f>
        <v>0</v>
      </c>
    </row>
    <row r="381" spans="1:15" s="1" customFormat="1" ht="19.5" customHeight="1" x14ac:dyDescent="0.25">
      <c r="A381" s="614"/>
      <c r="B381" s="511" t="s">
        <v>58</v>
      </c>
      <c r="C381" s="261"/>
      <c r="D381" s="522"/>
      <c r="E381" s="522"/>
      <c r="F381" s="360"/>
      <c r="G381" s="360"/>
      <c r="H381" s="360"/>
      <c r="I381" s="360"/>
      <c r="J381" s="360"/>
      <c r="K381" s="361"/>
      <c r="L381" s="360"/>
      <c r="M381" s="360"/>
      <c r="N381" s="164"/>
      <c r="O381" s="165"/>
    </row>
    <row r="382" spans="1:15" s="1" customFormat="1" ht="24.75" customHeight="1" x14ac:dyDescent="0.25">
      <c r="A382" s="614"/>
      <c r="B382" s="511" t="s">
        <v>59</v>
      </c>
      <c r="C382" s="261"/>
      <c r="D382" s="522">
        <v>20418.900000000001</v>
      </c>
      <c r="E382" s="522">
        <v>20418.900000000001</v>
      </c>
      <c r="F382" s="360"/>
      <c r="G382" s="361"/>
      <c r="H382" s="360"/>
      <c r="I382" s="360"/>
      <c r="J382" s="491"/>
      <c r="K382" s="361"/>
      <c r="L382" s="522">
        <v>20418.900000000001</v>
      </c>
      <c r="M382" s="360"/>
      <c r="N382" s="162">
        <f>SUM(F382+H382+J382+L382)</f>
        <v>20418.900000000001</v>
      </c>
      <c r="O382" s="163">
        <f>SUM(G382+I382+K382+M382)</f>
        <v>0</v>
      </c>
    </row>
    <row r="383" spans="1:15" s="1" customFormat="1" ht="32.25" customHeight="1" x14ac:dyDescent="0.25">
      <c r="A383" s="614"/>
      <c r="B383" s="511" t="s">
        <v>60</v>
      </c>
      <c r="C383" s="261"/>
      <c r="D383" s="522"/>
      <c r="E383" s="522"/>
      <c r="F383" s="360"/>
      <c r="G383" s="359"/>
      <c r="H383" s="359"/>
      <c r="I383" s="360"/>
      <c r="J383" s="359"/>
      <c r="K383" s="360"/>
      <c r="L383" s="359"/>
      <c r="M383" s="360"/>
      <c r="N383" s="164"/>
      <c r="O383" s="165"/>
    </row>
    <row r="384" spans="1:15" s="1" customFormat="1" ht="31.5" customHeight="1" x14ac:dyDescent="0.25">
      <c r="A384" s="614"/>
      <c r="B384" s="511" t="s">
        <v>131</v>
      </c>
      <c r="C384" s="224"/>
      <c r="D384" s="523">
        <v>768.4</v>
      </c>
      <c r="E384" s="523">
        <v>768.4</v>
      </c>
      <c r="F384" s="363">
        <v>768.4</v>
      </c>
      <c r="G384" s="363">
        <v>768.4</v>
      </c>
      <c r="H384" s="360"/>
      <c r="I384" s="360"/>
      <c r="J384" s="360"/>
      <c r="K384" s="361"/>
      <c r="L384" s="361"/>
      <c r="M384" s="360"/>
      <c r="N384" s="162">
        <f>SUM(F384+H384+J384+L384)</f>
        <v>768.4</v>
      </c>
      <c r="O384" s="163">
        <f>SUM(G384+I384+K384+M384)</f>
        <v>768.4</v>
      </c>
    </row>
    <row r="385" spans="1:15" s="1" customFormat="1" ht="19.5" customHeight="1" x14ac:dyDescent="0.25">
      <c r="A385" s="614"/>
      <c r="B385" s="511" t="s">
        <v>58</v>
      </c>
      <c r="C385" s="224"/>
      <c r="D385" s="523"/>
      <c r="E385" s="523"/>
      <c r="F385" s="360"/>
      <c r="G385" s="360"/>
      <c r="H385" s="360"/>
      <c r="I385" s="360"/>
      <c r="J385" s="360"/>
      <c r="K385" s="361"/>
      <c r="L385" s="361"/>
      <c r="M385" s="360"/>
      <c r="N385" s="164"/>
      <c r="O385" s="165"/>
    </row>
    <row r="386" spans="1:15" s="1" customFormat="1" ht="23.25" customHeight="1" x14ac:dyDescent="0.25">
      <c r="A386" s="614"/>
      <c r="B386" s="511" t="s">
        <v>59</v>
      </c>
      <c r="C386" s="261"/>
      <c r="D386" s="523">
        <v>768.4</v>
      </c>
      <c r="E386" s="523">
        <v>768.4</v>
      </c>
      <c r="F386" s="363">
        <v>768.4</v>
      </c>
      <c r="G386" s="363">
        <v>768.4</v>
      </c>
      <c r="H386" s="360"/>
      <c r="I386" s="360"/>
      <c r="J386" s="360"/>
      <c r="K386" s="361"/>
      <c r="L386" s="361"/>
      <c r="M386" s="360"/>
      <c r="N386" s="162">
        <f>SUM(F386+H386+J386+L386)</f>
        <v>768.4</v>
      </c>
      <c r="O386" s="163">
        <f>SUM(G386+I386+K386+M386)</f>
        <v>768.4</v>
      </c>
    </row>
    <row r="387" spans="1:15" s="1" customFormat="1" ht="39.75" customHeight="1" x14ac:dyDescent="0.25">
      <c r="A387" s="614"/>
      <c r="B387" s="357" t="s">
        <v>60</v>
      </c>
      <c r="C387" s="261"/>
      <c r="D387" s="363"/>
      <c r="E387" s="363"/>
      <c r="F387" s="360"/>
      <c r="G387" s="360"/>
      <c r="H387" s="360"/>
      <c r="I387" s="360"/>
      <c r="J387" s="360"/>
      <c r="K387" s="361"/>
      <c r="L387" s="361"/>
      <c r="M387" s="360"/>
      <c r="N387" s="166"/>
      <c r="O387" s="14"/>
    </row>
    <row r="388" spans="1:15" ht="26.25" customHeight="1" x14ac:dyDescent="0.25">
      <c r="A388" s="614"/>
      <c r="B388" s="358" t="s">
        <v>132</v>
      </c>
      <c r="C388" s="261"/>
      <c r="D388" s="362">
        <v>37.799999999999997</v>
      </c>
      <c r="E388" s="362">
        <v>37.799999999999997</v>
      </c>
      <c r="F388" s="360"/>
      <c r="G388" s="360"/>
      <c r="H388" s="362">
        <v>8.4</v>
      </c>
      <c r="I388" s="360">
        <v>8.4</v>
      </c>
      <c r="J388" s="360"/>
      <c r="K388" s="361"/>
      <c r="L388" s="361">
        <v>29.4</v>
      </c>
      <c r="M388" s="360">
        <v>27.1</v>
      </c>
      <c r="N388" s="162">
        <f>SUM(F388+H388+J388+L388)</f>
        <v>37.799999999999997</v>
      </c>
      <c r="O388" s="163">
        <f>SUM(G388+I388+K388+M388)</f>
        <v>35.5</v>
      </c>
    </row>
    <row r="389" spans="1:15" ht="26.25" customHeight="1" x14ac:dyDescent="0.25">
      <c r="A389" s="614"/>
      <c r="B389" s="358" t="s">
        <v>58</v>
      </c>
      <c r="C389" s="224"/>
      <c r="D389" s="362"/>
      <c r="E389" s="362"/>
      <c r="F389" s="360"/>
      <c r="G389" s="360"/>
      <c r="H389" s="360"/>
      <c r="I389" s="360"/>
      <c r="J389" s="360"/>
      <c r="K389" s="361"/>
      <c r="L389" s="361"/>
      <c r="M389" s="360"/>
      <c r="N389" s="162"/>
      <c r="O389" s="163"/>
    </row>
    <row r="390" spans="1:15" ht="24" customHeight="1" x14ac:dyDescent="0.25">
      <c r="A390" s="614"/>
      <c r="B390" s="357" t="s">
        <v>59</v>
      </c>
      <c r="C390" s="261"/>
      <c r="D390" s="362">
        <v>37.799999999999997</v>
      </c>
      <c r="E390" s="362">
        <v>37.799999999999997</v>
      </c>
      <c r="F390" s="360"/>
      <c r="G390" s="360"/>
      <c r="H390" s="512">
        <v>8.4</v>
      </c>
      <c r="I390" s="510">
        <v>8.4</v>
      </c>
      <c r="J390" s="360"/>
      <c r="K390" s="361"/>
      <c r="L390" s="361">
        <v>29.4</v>
      </c>
      <c r="M390" s="510">
        <v>27.1</v>
      </c>
      <c r="N390" s="162">
        <f>SUM(F390+H390+J390+L390)</f>
        <v>37.799999999999997</v>
      </c>
      <c r="O390" s="163">
        <f>SUM(G390+I390+K390+M390)</f>
        <v>35.5</v>
      </c>
    </row>
    <row r="391" spans="1:15" ht="33.75" customHeight="1" x14ac:dyDescent="0.25">
      <c r="A391" s="614"/>
      <c r="B391" s="357" t="s">
        <v>60</v>
      </c>
      <c r="C391" s="261"/>
      <c r="D391" s="362"/>
      <c r="E391" s="362"/>
      <c r="F391" s="360"/>
      <c r="G391" s="360"/>
      <c r="H391" s="360"/>
      <c r="I391" s="360"/>
      <c r="J391" s="360"/>
      <c r="K391" s="361"/>
      <c r="L391" s="361"/>
      <c r="M391" s="360"/>
      <c r="N391" s="166"/>
      <c r="O391" s="14"/>
    </row>
    <row r="392" spans="1:15" ht="45" customHeight="1" x14ac:dyDescent="0.25">
      <c r="A392" s="614"/>
      <c r="B392" s="357" t="s">
        <v>133</v>
      </c>
      <c r="C392" s="262"/>
      <c r="D392" s="362">
        <v>4673.8</v>
      </c>
      <c r="E392" s="512">
        <v>4673.8</v>
      </c>
      <c r="F392" s="360">
        <v>457.8</v>
      </c>
      <c r="G392" s="360">
        <v>457.8</v>
      </c>
      <c r="H392" s="364">
        <v>1216.4000000000001</v>
      </c>
      <c r="I392" s="360">
        <v>1216.4000000000001</v>
      </c>
      <c r="J392" s="365">
        <v>292.2</v>
      </c>
      <c r="K392" s="361">
        <v>292.2</v>
      </c>
      <c r="L392" s="362">
        <v>2707.4</v>
      </c>
      <c r="M392" s="360">
        <v>1738.2</v>
      </c>
      <c r="N392" s="162">
        <f>SUM(F392+H392+J392+L392)</f>
        <v>4673.8</v>
      </c>
      <c r="O392" s="163">
        <f>SUM(G392+I392+K392+M392)</f>
        <v>3704.6000000000004</v>
      </c>
    </row>
    <row r="393" spans="1:15" ht="20.25" customHeight="1" x14ac:dyDescent="0.25">
      <c r="A393" s="614"/>
      <c r="B393" s="358" t="s">
        <v>58</v>
      </c>
      <c r="C393" s="263"/>
      <c r="D393" s="362"/>
      <c r="E393" s="362"/>
      <c r="F393" s="360"/>
      <c r="G393" s="360"/>
      <c r="H393" s="360"/>
      <c r="I393" s="360"/>
      <c r="J393" s="360"/>
      <c r="K393" s="361"/>
      <c r="L393" s="361"/>
      <c r="M393" s="360"/>
      <c r="N393" s="166"/>
      <c r="O393" s="14"/>
    </row>
    <row r="394" spans="1:15" ht="23.25" customHeight="1" x14ac:dyDescent="0.25">
      <c r="A394" s="614"/>
      <c r="B394" s="357" t="s">
        <v>59</v>
      </c>
      <c r="C394" s="262"/>
      <c r="D394" s="512">
        <v>4673.8</v>
      </c>
      <c r="E394" s="512">
        <v>4673.8</v>
      </c>
      <c r="F394" s="510">
        <v>457.8</v>
      </c>
      <c r="G394" s="510">
        <v>457.8</v>
      </c>
      <c r="H394" s="513">
        <v>1216.4000000000001</v>
      </c>
      <c r="I394" s="510">
        <v>1216.4000000000001</v>
      </c>
      <c r="J394" s="365">
        <v>292.2</v>
      </c>
      <c r="K394" s="361">
        <v>292.2</v>
      </c>
      <c r="L394" s="512">
        <v>2707.4</v>
      </c>
      <c r="M394" s="510">
        <v>1738.2</v>
      </c>
      <c r="N394" s="162">
        <f>SUM(F394+H394+J394+L394)</f>
        <v>4673.8</v>
      </c>
      <c r="O394" s="163">
        <f>SUM(G394+I394+K394+M394)</f>
        <v>3704.6000000000004</v>
      </c>
    </row>
    <row r="395" spans="1:15" ht="40.5" customHeight="1" x14ac:dyDescent="0.25">
      <c r="A395" s="614"/>
      <c r="B395" s="357" t="s">
        <v>60</v>
      </c>
      <c r="C395" s="262"/>
      <c r="D395" s="362"/>
      <c r="E395" s="362"/>
      <c r="F395" s="360"/>
      <c r="G395" s="360"/>
      <c r="H395" s="360"/>
      <c r="I395" s="360"/>
      <c r="J395" s="360"/>
      <c r="K395" s="361"/>
      <c r="L395" s="361"/>
      <c r="M395" s="360"/>
      <c r="N395" s="166"/>
      <c r="O395" s="14"/>
    </row>
    <row r="396" spans="1:15" ht="43.5" customHeight="1" x14ac:dyDescent="0.25">
      <c r="A396" s="614"/>
      <c r="B396" s="357" t="s">
        <v>64</v>
      </c>
      <c r="C396" s="261"/>
      <c r="D396" s="362">
        <v>169</v>
      </c>
      <c r="E396" s="362">
        <v>169</v>
      </c>
      <c r="F396" s="364"/>
      <c r="G396" s="364"/>
      <c r="H396" s="364">
        <v>100</v>
      </c>
      <c r="I396" s="360">
        <v>99</v>
      </c>
      <c r="J396" s="364">
        <v>69</v>
      </c>
      <c r="K396" s="361">
        <v>9.1999999999999993</v>
      </c>
      <c r="L396" s="361"/>
      <c r="M396" s="360">
        <v>60.8</v>
      </c>
      <c r="N396" s="162">
        <f t="shared" ref="N396:O398" si="98">SUM(F396+H396+J396+L396)</f>
        <v>169</v>
      </c>
      <c r="O396" s="163">
        <f t="shared" si="98"/>
        <v>169</v>
      </c>
    </row>
    <row r="397" spans="1:15" ht="38.25" customHeight="1" x14ac:dyDescent="0.25">
      <c r="A397" s="614"/>
      <c r="B397" s="357" t="s">
        <v>134</v>
      </c>
      <c r="C397" s="224"/>
      <c r="D397" s="512">
        <v>169</v>
      </c>
      <c r="E397" s="512">
        <v>169</v>
      </c>
      <c r="F397" s="513"/>
      <c r="G397" s="513"/>
      <c r="H397" s="513">
        <v>100</v>
      </c>
      <c r="I397" s="510">
        <v>99</v>
      </c>
      <c r="J397" s="513">
        <v>69</v>
      </c>
      <c r="K397" s="361">
        <v>9.1999999999999993</v>
      </c>
      <c r="L397" s="361"/>
      <c r="M397" s="510">
        <v>60.8</v>
      </c>
      <c r="N397" s="162">
        <f t="shared" si="98"/>
        <v>169</v>
      </c>
      <c r="O397" s="163">
        <f t="shared" si="98"/>
        <v>169</v>
      </c>
    </row>
    <row r="398" spans="1:15" ht="34.5" customHeight="1" thickBot="1" x14ac:dyDescent="0.3">
      <c r="A398" s="614"/>
      <c r="B398" s="357" t="s">
        <v>60</v>
      </c>
      <c r="C398" s="261"/>
      <c r="D398" s="360"/>
      <c r="E398" s="360"/>
      <c r="F398" s="360"/>
      <c r="G398" s="360"/>
      <c r="H398" s="360"/>
      <c r="I398" s="360"/>
      <c r="J398" s="360"/>
      <c r="K398" s="361"/>
      <c r="L398" s="361"/>
      <c r="M398" s="360"/>
      <c r="N398" s="162">
        <f t="shared" si="98"/>
        <v>0</v>
      </c>
      <c r="O398" s="163">
        <f t="shared" si="98"/>
        <v>0</v>
      </c>
    </row>
    <row r="399" spans="1:15" ht="41.25" customHeight="1" x14ac:dyDescent="0.2">
      <c r="A399" s="5" t="s">
        <v>12</v>
      </c>
      <c r="B399" s="32"/>
      <c r="C399" s="273"/>
      <c r="D399" s="45">
        <f t="shared" ref="D399:O399" si="99">SUM(D380+D384+D388+D396+D392)</f>
        <v>26067.9</v>
      </c>
      <c r="E399" s="45">
        <f t="shared" si="99"/>
        <v>26067.9</v>
      </c>
      <c r="F399" s="45">
        <f t="shared" si="99"/>
        <v>1226.2</v>
      </c>
      <c r="G399" s="45">
        <f t="shared" si="99"/>
        <v>1226.2</v>
      </c>
      <c r="H399" s="45">
        <f t="shared" si="99"/>
        <v>1324.8000000000002</v>
      </c>
      <c r="I399" s="45">
        <f t="shared" si="99"/>
        <v>1323.8000000000002</v>
      </c>
      <c r="J399" s="45">
        <f t="shared" si="99"/>
        <v>361.2</v>
      </c>
      <c r="K399" s="45">
        <f t="shared" si="99"/>
        <v>301.39999999999998</v>
      </c>
      <c r="L399" s="45">
        <f t="shared" si="99"/>
        <v>23155.700000000004</v>
      </c>
      <c r="M399" s="45">
        <f t="shared" si="99"/>
        <v>1826.1000000000001</v>
      </c>
      <c r="N399" s="45">
        <f t="shared" si="99"/>
        <v>26067.9</v>
      </c>
      <c r="O399" s="45">
        <f t="shared" si="99"/>
        <v>4677.5</v>
      </c>
    </row>
    <row r="400" spans="1:15" ht="31.5" customHeight="1" x14ac:dyDescent="0.2">
      <c r="A400" s="641"/>
      <c r="B400" s="20" t="s">
        <v>58</v>
      </c>
      <c r="C400" s="20"/>
      <c r="D400" s="41"/>
      <c r="E400" s="41"/>
      <c r="F400" s="42"/>
      <c r="G400" s="42"/>
      <c r="H400" s="41"/>
      <c r="I400" s="41"/>
      <c r="J400" s="41"/>
      <c r="K400" s="43"/>
      <c r="L400" s="44"/>
      <c r="M400" s="41"/>
      <c r="N400" s="136"/>
      <c r="O400" s="11"/>
    </row>
    <row r="401" spans="1:15" ht="34.5" customHeight="1" x14ac:dyDescent="0.2">
      <c r="A401" s="574"/>
      <c r="B401" s="20" t="s">
        <v>59</v>
      </c>
      <c r="C401" s="20"/>
      <c r="D401" s="45">
        <f t="shared" ref="D401:N401" si="100">SUM(D397+D390+D386+D382+D392)</f>
        <v>26067.9</v>
      </c>
      <c r="E401" s="45">
        <f t="shared" si="100"/>
        <v>26067.9</v>
      </c>
      <c r="F401" s="45">
        <f t="shared" si="100"/>
        <v>1226.2</v>
      </c>
      <c r="G401" s="45">
        <f t="shared" si="100"/>
        <v>1226.2</v>
      </c>
      <c r="H401" s="45">
        <f t="shared" si="100"/>
        <v>1324.8000000000002</v>
      </c>
      <c r="I401" s="45">
        <f t="shared" si="100"/>
        <v>1323.8000000000002</v>
      </c>
      <c r="J401" s="45">
        <f t="shared" si="100"/>
        <v>361.2</v>
      </c>
      <c r="K401" s="45">
        <f t="shared" si="100"/>
        <v>301.39999999999998</v>
      </c>
      <c r="L401" s="45">
        <f t="shared" si="100"/>
        <v>23155.700000000004</v>
      </c>
      <c r="M401" s="45">
        <f t="shared" si="100"/>
        <v>1826.1000000000001</v>
      </c>
      <c r="N401" s="45">
        <f t="shared" si="100"/>
        <v>26067.9</v>
      </c>
      <c r="O401" s="45">
        <f>SUM(O390+O386+O382+O392+O397)</f>
        <v>4677.5</v>
      </c>
    </row>
    <row r="402" spans="1:15" ht="36.75" customHeight="1" thickBot="1" x14ac:dyDescent="0.25">
      <c r="A402" s="575"/>
      <c r="B402" s="33" t="s">
        <v>60</v>
      </c>
      <c r="C402" s="78"/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/>
      <c r="J402" s="6">
        <v>0</v>
      </c>
      <c r="K402" s="6">
        <v>0</v>
      </c>
      <c r="L402" s="6">
        <v>0</v>
      </c>
      <c r="M402" s="6"/>
      <c r="N402" s="6"/>
      <c r="O402" s="128"/>
    </row>
    <row r="403" spans="1:15" s="305" customFormat="1" ht="54.75" customHeight="1" x14ac:dyDescent="0.2">
      <c r="A403" s="598" t="s">
        <v>66</v>
      </c>
      <c r="B403" s="389" t="s">
        <v>63</v>
      </c>
      <c r="C403" s="595"/>
      <c r="D403" s="398">
        <v>2786.2</v>
      </c>
      <c r="E403" s="398">
        <v>2786.2</v>
      </c>
      <c r="F403" s="399">
        <v>794.05</v>
      </c>
      <c r="G403" s="399">
        <v>570.4</v>
      </c>
      <c r="H403" s="399">
        <v>794.05</v>
      </c>
      <c r="I403" s="399">
        <v>627.79999999999995</v>
      </c>
      <c r="J403" s="399">
        <v>794.05</v>
      </c>
      <c r="K403" s="400">
        <v>771.2</v>
      </c>
      <c r="L403" s="400">
        <v>404.05</v>
      </c>
      <c r="M403" s="399">
        <v>728.5</v>
      </c>
      <c r="N403" s="319">
        <f>SUM(F403+H403+J403+L403)</f>
        <v>2786.2</v>
      </c>
      <c r="O403" s="334">
        <f>SUM(G403+I403+K403+M403)</f>
        <v>2697.8999999999996</v>
      </c>
    </row>
    <row r="404" spans="1:15" s="305" customFormat="1" ht="22.5" customHeight="1" x14ac:dyDescent="0.2">
      <c r="A404" s="599"/>
      <c r="B404" s="390" t="s">
        <v>58</v>
      </c>
      <c r="C404" s="596"/>
      <c r="D404" s="225"/>
      <c r="E404" s="225"/>
      <c r="F404" s="225"/>
      <c r="G404" s="225"/>
      <c r="H404" s="225" t="s">
        <v>148</v>
      </c>
      <c r="I404" s="225"/>
      <c r="J404" s="225"/>
      <c r="K404" s="401"/>
      <c r="L404" s="401"/>
      <c r="M404" s="225"/>
      <c r="N404" s="320"/>
      <c r="O404" s="137"/>
    </row>
    <row r="405" spans="1:15" s="305" customFormat="1" ht="23.25" customHeight="1" x14ac:dyDescent="0.2">
      <c r="A405" s="599"/>
      <c r="B405" s="390" t="s">
        <v>59</v>
      </c>
      <c r="C405" s="596"/>
      <c r="D405" s="398">
        <v>2786.2</v>
      </c>
      <c r="E405" s="398">
        <v>2786.2</v>
      </c>
      <c r="F405" s="399">
        <v>794.05</v>
      </c>
      <c r="G405" s="399">
        <v>570.4</v>
      </c>
      <c r="H405" s="399">
        <v>794.05</v>
      </c>
      <c r="I405" s="399">
        <v>627.79999999999995</v>
      </c>
      <c r="J405" s="399">
        <v>794.05</v>
      </c>
      <c r="K405" s="400">
        <v>771.2</v>
      </c>
      <c r="L405" s="400">
        <v>404.05</v>
      </c>
      <c r="M405" s="399">
        <v>728.5</v>
      </c>
      <c r="N405" s="319">
        <f>SUM(F405+H405+J405+L405)</f>
        <v>2786.2</v>
      </c>
      <c r="O405" s="334">
        <f>SUM(G405+I405+K405+M405)</f>
        <v>2697.8999999999996</v>
      </c>
    </row>
    <row r="406" spans="1:15" s="305" customFormat="1" ht="36.75" customHeight="1" x14ac:dyDescent="0.2">
      <c r="A406" s="599"/>
      <c r="B406" s="391" t="s">
        <v>60</v>
      </c>
      <c r="C406" s="596"/>
      <c r="D406" s="225"/>
      <c r="E406" s="225"/>
      <c r="F406" s="225"/>
      <c r="G406" s="225"/>
      <c r="H406" s="225"/>
      <c r="I406" s="225"/>
      <c r="J406" s="225"/>
      <c r="K406" s="401"/>
      <c r="L406" s="401"/>
      <c r="M406" s="225"/>
      <c r="N406" s="320"/>
      <c r="O406" s="137"/>
    </row>
    <row r="407" spans="1:15" s="305" customFormat="1" ht="69.75" customHeight="1" x14ac:dyDescent="0.2">
      <c r="A407" s="599"/>
      <c r="B407" s="391" t="s">
        <v>147</v>
      </c>
      <c r="C407" s="596"/>
      <c r="D407" s="225">
        <v>8246.2000000000007</v>
      </c>
      <c r="E407" s="225">
        <v>8246.2000000000007</v>
      </c>
      <c r="F407" s="225">
        <v>2097.6</v>
      </c>
      <c r="G407" s="225">
        <v>1829.7</v>
      </c>
      <c r="H407" s="225">
        <v>2097.6</v>
      </c>
      <c r="I407" s="225">
        <v>2295.3000000000002</v>
      </c>
      <c r="J407" s="225">
        <v>2097.6</v>
      </c>
      <c r="K407" s="225">
        <v>2178.9</v>
      </c>
      <c r="L407" s="225">
        <v>1953.4</v>
      </c>
      <c r="M407" s="225">
        <v>1942.3</v>
      </c>
      <c r="N407" s="319">
        <f>SUM(F407+H407+J407+L407)</f>
        <v>8246.1999999999989</v>
      </c>
      <c r="O407" s="334">
        <f>SUM(G407+I407+K407+M407)</f>
        <v>8246.1999999999989</v>
      </c>
    </row>
    <row r="408" spans="1:15" s="305" customFormat="1" ht="22.5" customHeight="1" x14ac:dyDescent="0.2">
      <c r="A408" s="599"/>
      <c r="B408" s="390" t="s">
        <v>58</v>
      </c>
      <c r="C408" s="596"/>
      <c r="D408" s="225"/>
      <c r="E408" s="225"/>
      <c r="F408" s="225"/>
      <c r="G408" s="225"/>
      <c r="H408" s="225"/>
      <c r="I408" s="225"/>
      <c r="J408" s="225"/>
      <c r="K408" s="401"/>
      <c r="L408" s="401"/>
      <c r="M408" s="225"/>
      <c r="N408" s="320"/>
      <c r="O408" s="137"/>
    </row>
    <row r="409" spans="1:15" s="305" customFormat="1" ht="20.25" customHeight="1" x14ac:dyDescent="0.2">
      <c r="A409" s="599"/>
      <c r="B409" s="390" t="s">
        <v>59</v>
      </c>
      <c r="C409" s="596"/>
      <c r="D409" s="225">
        <v>8246.2000000000007</v>
      </c>
      <c r="E409" s="225">
        <v>8246.2000000000007</v>
      </c>
      <c r="F409" s="225">
        <v>2097.6</v>
      </c>
      <c r="G409" s="225">
        <v>1829.7</v>
      </c>
      <c r="H409" s="225">
        <v>2097.6</v>
      </c>
      <c r="I409" s="225">
        <v>2295.3000000000002</v>
      </c>
      <c r="J409" s="225">
        <v>2097.6</v>
      </c>
      <c r="K409" s="225">
        <v>2178.9</v>
      </c>
      <c r="L409" s="225">
        <v>1953.4</v>
      </c>
      <c r="M409" s="225">
        <v>1942.3</v>
      </c>
      <c r="N409" s="319">
        <f>SUM(F409+H409+J409+L409)</f>
        <v>8246.1999999999989</v>
      </c>
      <c r="O409" s="334">
        <f>SUM(G409+I409+K409+M409)</f>
        <v>8246.1999999999989</v>
      </c>
    </row>
    <row r="410" spans="1:15" s="305" customFormat="1" ht="36.75" customHeight="1" x14ac:dyDescent="0.2">
      <c r="A410" s="599"/>
      <c r="B410" s="392" t="s">
        <v>60</v>
      </c>
      <c r="C410" s="596"/>
      <c r="D410" s="402"/>
      <c r="E410" s="402"/>
      <c r="F410" s="402"/>
      <c r="G410" s="402"/>
      <c r="H410" s="402"/>
      <c r="I410" s="402"/>
      <c r="J410" s="402"/>
      <c r="K410" s="403"/>
      <c r="L410" s="403"/>
      <c r="M410" s="402"/>
      <c r="N410" s="320"/>
      <c r="O410" s="137"/>
    </row>
    <row r="411" spans="1:15" s="305" customFormat="1" ht="46.5" customHeight="1" x14ac:dyDescent="0.2">
      <c r="A411" s="599"/>
      <c r="B411" s="393" t="s">
        <v>140</v>
      </c>
      <c r="C411" s="596"/>
      <c r="D411" s="404">
        <v>200</v>
      </c>
      <c r="E411" s="404">
        <v>200</v>
      </c>
      <c r="F411" s="405">
        <v>50</v>
      </c>
      <c r="G411" s="225">
        <v>39.4</v>
      </c>
      <c r="H411" s="405">
        <v>50</v>
      </c>
      <c r="I411" s="225">
        <v>0</v>
      </c>
      <c r="J411" s="405">
        <v>50</v>
      </c>
      <c r="K411" s="225">
        <v>150</v>
      </c>
      <c r="L411" s="405">
        <v>50</v>
      </c>
      <c r="M411" s="225">
        <v>10.6</v>
      </c>
      <c r="N411" s="319">
        <f>SUM(F411+H411+J411+L411)</f>
        <v>200</v>
      </c>
      <c r="O411" s="334">
        <f>SUM(G411+I411+K411+M411)</f>
        <v>200</v>
      </c>
    </row>
    <row r="412" spans="1:15" s="305" customFormat="1" ht="20.25" customHeight="1" x14ac:dyDescent="0.2">
      <c r="A412" s="599"/>
      <c r="B412" s="390" t="s">
        <v>58</v>
      </c>
      <c r="C412" s="596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320"/>
      <c r="O412" s="137"/>
    </row>
    <row r="413" spans="1:15" s="305" customFormat="1" ht="22.5" customHeight="1" x14ac:dyDescent="0.2">
      <c r="A413" s="599"/>
      <c r="B413" s="390" t="s">
        <v>59</v>
      </c>
      <c r="C413" s="596"/>
      <c r="D413" s="225">
        <v>200</v>
      </c>
      <c r="E413" s="404">
        <v>200</v>
      </c>
      <c r="F413" s="405">
        <v>50</v>
      </c>
      <c r="G413" s="225">
        <v>39.4</v>
      </c>
      <c r="H413" s="405">
        <v>50</v>
      </c>
      <c r="I413" s="225">
        <v>0</v>
      </c>
      <c r="J413" s="405">
        <v>50</v>
      </c>
      <c r="K413" s="225">
        <v>150</v>
      </c>
      <c r="L413" s="405">
        <v>50</v>
      </c>
      <c r="M413" s="225">
        <v>10.6</v>
      </c>
      <c r="N413" s="319">
        <f>SUM(F413+H413+J413+L413)</f>
        <v>200</v>
      </c>
      <c r="O413" s="334">
        <f>SUM(G413+I413+K413+M413)</f>
        <v>200</v>
      </c>
    </row>
    <row r="414" spans="1:15" s="305" customFormat="1" ht="36.75" customHeight="1" thickBot="1" x14ac:dyDescent="0.25">
      <c r="A414" s="599"/>
      <c r="B414" s="394" t="s">
        <v>60</v>
      </c>
      <c r="C414" s="596"/>
      <c r="D414" s="406"/>
      <c r="E414" s="406"/>
      <c r="F414" s="406"/>
      <c r="G414" s="406"/>
      <c r="H414" s="406"/>
      <c r="I414" s="225"/>
      <c r="J414" s="225"/>
      <c r="K414" s="225"/>
      <c r="L414" s="225"/>
      <c r="M414" s="225"/>
      <c r="N414" s="320"/>
      <c r="O414" s="137"/>
    </row>
    <row r="415" spans="1:15" s="305" customFormat="1" ht="54" customHeight="1" x14ac:dyDescent="0.2">
      <c r="A415" s="599"/>
      <c r="B415" s="395" t="s">
        <v>141</v>
      </c>
      <c r="C415" s="596"/>
      <c r="D415" s="407">
        <v>0</v>
      </c>
      <c r="E415" s="407">
        <v>0</v>
      </c>
      <c r="F415" s="407">
        <v>0</v>
      </c>
      <c r="G415" s="407">
        <v>0</v>
      </c>
      <c r="H415" s="407">
        <v>0</v>
      </c>
      <c r="I415" s="407">
        <v>0</v>
      </c>
      <c r="J415" s="407">
        <v>0</v>
      </c>
      <c r="K415" s="408">
        <v>0</v>
      </c>
      <c r="L415" s="407">
        <v>0</v>
      </c>
      <c r="M415" s="408">
        <v>0</v>
      </c>
      <c r="N415" s="319">
        <f>SUM(F415+H415+J415+L415)</f>
        <v>0</v>
      </c>
      <c r="O415" s="334">
        <f>SUM(G415+I415+K415+M415)</f>
        <v>0</v>
      </c>
    </row>
    <row r="416" spans="1:15" s="305" customFormat="1" ht="21" customHeight="1" x14ac:dyDescent="0.2">
      <c r="A416" s="599"/>
      <c r="B416" s="390" t="s">
        <v>58</v>
      </c>
      <c r="C416" s="596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320"/>
      <c r="O416" s="137"/>
    </row>
    <row r="417" spans="1:15" s="305" customFormat="1" ht="21.75" customHeight="1" x14ac:dyDescent="0.2">
      <c r="A417" s="599"/>
      <c r="B417" s="396" t="s">
        <v>59</v>
      </c>
      <c r="C417" s="596"/>
      <c r="D417" s="225">
        <v>0</v>
      </c>
      <c r="E417" s="225">
        <v>0</v>
      </c>
      <c r="F417" s="225">
        <v>0</v>
      </c>
      <c r="G417" s="225">
        <v>0</v>
      </c>
      <c r="H417" s="225">
        <v>0</v>
      </c>
      <c r="I417" s="225">
        <v>0</v>
      </c>
      <c r="J417" s="225">
        <v>0</v>
      </c>
      <c r="K417" s="225">
        <v>0</v>
      </c>
      <c r="L417" s="225">
        <v>0</v>
      </c>
      <c r="M417" s="225">
        <v>0</v>
      </c>
      <c r="N417" s="319">
        <f>SUM(F417+H417+J417+L417)</f>
        <v>0</v>
      </c>
      <c r="O417" s="334">
        <f>SUM(G417+I417+K417+M417)</f>
        <v>0</v>
      </c>
    </row>
    <row r="418" spans="1:15" s="305" customFormat="1" ht="30" customHeight="1" x14ac:dyDescent="0.2">
      <c r="A418" s="599"/>
      <c r="B418" s="397" t="s">
        <v>60</v>
      </c>
      <c r="C418" s="596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320"/>
      <c r="O418" s="137"/>
    </row>
    <row r="419" spans="1:15" ht="244.5" customHeight="1" x14ac:dyDescent="0.2">
      <c r="A419" s="599"/>
      <c r="B419" s="398" t="s">
        <v>142</v>
      </c>
      <c r="C419" s="596"/>
      <c r="D419" s="404">
        <v>410</v>
      </c>
      <c r="E419" s="225">
        <v>410</v>
      </c>
      <c r="F419" s="225">
        <v>102.5</v>
      </c>
      <c r="G419" s="225">
        <v>88.7</v>
      </c>
      <c r="H419" s="225">
        <v>102.5</v>
      </c>
      <c r="I419" s="225">
        <v>116.8</v>
      </c>
      <c r="J419" s="225">
        <v>102.5</v>
      </c>
      <c r="K419" s="225">
        <v>200</v>
      </c>
      <c r="L419" s="225">
        <v>102.5</v>
      </c>
      <c r="M419" s="225">
        <v>4.5</v>
      </c>
      <c r="N419" s="319">
        <f>SUM(F419+H419+J419+L419)</f>
        <v>410</v>
      </c>
      <c r="O419" s="334">
        <f>SUM(G419+I419+K419+M419)</f>
        <v>410</v>
      </c>
    </row>
    <row r="420" spans="1:15" s="1" customFormat="1" ht="19.5" customHeight="1" x14ac:dyDescent="0.2">
      <c r="A420" s="599"/>
      <c r="B420" s="398" t="s">
        <v>58</v>
      </c>
      <c r="C420" s="596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321"/>
      <c r="O420" s="322"/>
    </row>
    <row r="421" spans="1:15" s="1" customFormat="1" ht="19.5" customHeight="1" x14ac:dyDescent="0.2">
      <c r="A421" s="599"/>
      <c r="B421" s="398" t="s">
        <v>59</v>
      </c>
      <c r="C421" s="596"/>
      <c r="D421" s="225">
        <v>410</v>
      </c>
      <c r="E421" s="225">
        <v>410</v>
      </c>
      <c r="F421" s="225">
        <v>102.5</v>
      </c>
      <c r="G421" s="225">
        <v>88.7</v>
      </c>
      <c r="H421" s="225">
        <v>102.5</v>
      </c>
      <c r="I421" s="225">
        <v>116.8</v>
      </c>
      <c r="J421" s="225">
        <v>102.5</v>
      </c>
      <c r="K421" s="225">
        <v>200</v>
      </c>
      <c r="L421" s="225">
        <v>102.5</v>
      </c>
      <c r="M421" s="225">
        <v>4.5</v>
      </c>
      <c r="N421" s="319">
        <f>SUM(F421+H421+J421+L421)</f>
        <v>410</v>
      </c>
      <c r="O421" s="322">
        <f>SUM(G421+I421+K421+M4474+M421)</f>
        <v>410</v>
      </c>
    </row>
    <row r="422" spans="1:15" s="1" customFormat="1" ht="38.25" customHeight="1" x14ac:dyDescent="0.2">
      <c r="A422" s="599"/>
      <c r="B422" s="398" t="s">
        <v>60</v>
      </c>
      <c r="C422" s="596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321"/>
      <c r="O422" s="322"/>
    </row>
    <row r="423" spans="1:15" s="1" customFormat="1" ht="122.25" customHeight="1" x14ac:dyDescent="0.2">
      <c r="A423" s="599"/>
      <c r="B423" s="398" t="s">
        <v>143</v>
      </c>
      <c r="C423" s="596"/>
      <c r="D423" s="404">
        <v>200</v>
      </c>
      <c r="E423" s="225">
        <v>200</v>
      </c>
      <c r="F423" s="225">
        <v>50</v>
      </c>
      <c r="G423" s="225">
        <v>0</v>
      </c>
      <c r="H423" s="225">
        <v>50</v>
      </c>
      <c r="I423" s="225">
        <v>200</v>
      </c>
      <c r="J423" s="225">
        <v>50</v>
      </c>
      <c r="K423" s="225">
        <v>0</v>
      </c>
      <c r="L423" s="225">
        <v>50</v>
      </c>
      <c r="M423" s="225">
        <v>0</v>
      </c>
      <c r="N423" s="319">
        <f>SUM(F423+H423+J423+L423)</f>
        <v>200</v>
      </c>
      <c r="O423" s="322">
        <f>SUM(G423+I423+K423+M4480+M423)</f>
        <v>200</v>
      </c>
    </row>
    <row r="424" spans="1:15" s="1" customFormat="1" ht="21.75" customHeight="1" x14ac:dyDescent="0.2">
      <c r="A424" s="599"/>
      <c r="B424" s="398" t="s">
        <v>58</v>
      </c>
      <c r="C424" s="596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321"/>
      <c r="O424" s="322"/>
    </row>
    <row r="425" spans="1:15" s="1" customFormat="1" ht="23.25" customHeight="1" x14ac:dyDescent="0.2">
      <c r="A425" s="599"/>
      <c r="B425" s="398" t="s">
        <v>59</v>
      </c>
      <c r="C425" s="596"/>
      <c r="D425" s="225">
        <v>200</v>
      </c>
      <c r="E425" s="225">
        <v>200</v>
      </c>
      <c r="F425" s="225">
        <v>50</v>
      </c>
      <c r="G425" s="225">
        <v>0</v>
      </c>
      <c r="H425" s="225">
        <v>50</v>
      </c>
      <c r="I425" s="225">
        <v>200</v>
      </c>
      <c r="J425" s="225">
        <v>50</v>
      </c>
      <c r="K425" s="225">
        <v>0</v>
      </c>
      <c r="L425" s="225">
        <v>50</v>
      </c>
      <c r="M425" s="225">
        <v>0</v>
      </c>
      <c r="N425" s="319">
        <f>SUM(F425+H425+J425+L425)</f>
        <v>200</v>
      </c>
      <c r="O425" s="322">
        <f>SUM(G425+I425+K425+M4482+M425)</f>
        <v>200</v>
      </c>
    </row>
    <row r="426" spans="1:15" s="1" customFormat="1" ht="33" customHeight="1" x14ac:dyDescent="0.2">
      <c r="A426" s="599"/>
      <c r="B426" s="398" t="s">
        <v>60</v>
      </c>
      <c r="C426" s="596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321"/>
      <c r="O426" s="322"/>
    </row>
    <row r="427" spans="1:15" s="1" customFormat="1" ht="56.25" customHeight="1" x14ac:dyDescent="0.2">
      <c r="A427" s="599"/>
      <c r="B427" s="398" t="s">
        <v>144</v>
      </c>
      <c r="C427" s="596"/>
      <c r="D427" s="404">
        <v>100</v>
      </c>
      <c r="E427" s="225">
        <v>100</v>
      </c>
      <c r="F427" s="225">
        <v>25</v>
      </c>
      <c r="G427" s="225">
        <v>0</v>
      </c>
      <c r="H427" s="225">
        <v>25</v>
      </c>
      <c r="I427" s="225">
        <v>0</v>
      </c>
      <c r="J427" s="225">
        <v>25</v>
      </c>
      <c r="K427" s="225">
        <v>0</v>
      </c>
      <c r="L427" s="225">
        <v>25</v>
      </c>
      <c r="M427" s="225">
        <v>100</v>
      </c>
      <c r="N427" s="319">
        <f>SUM(F427+H427+J427+L427)</f>
        <v>100</v>
      </c>
      <c r="O427" s="334">
        <f>SUM(G427+I427+K427+M427)</f>
        <v>100</v>
      </c>
    </row>
    <row r="428" spans="1:15" s="1" customFormat="1" ht="23.25" customHeight="1" x14ac:dyDescent="0.2">
      <c r="A428" s="599"/>
      <c r="B428" s="398" t="s">
        <v>58</v>
      </c>
      <c r="C428" s="596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321"/>
      <c r="O428" s="322"/>
    </row>
    <row r="429" spans="1:15" s="1" customFormat="1" ht="22.5" customHeight="1" x14ac:dyDescent="0.2">
      <c r="A429" s="599"/>
      <c r="B429" s="398" t="s">
        <v>59</v>
      </c>
      <c r="C429" s="596"/>
      <c r="D429" s="225">
        <v>100</v>
      </c>
      <c r="E429" s="225">
        <v>100</v>
      </c>
      <c r="F429" s="225">
        <v>25</v>
      </c>
      <c r="G429" s="225">
        <v>0</v>
      </c>
      <c r="H429" s="225">
        <v>25</v>
      </c>
      <c r="I429" s="225">
        <v>0</v>
      </c>
      <c r="J429" s="225">
        <v>25</v>
      </c>
      <c r="K429" s="225">
        <v>0</v>
      </c>
      <c r="L429" s="225">
        <v>25</v>
      </c>
      <c r="M429" s="225">
        <v>100</v>
      </c>
      <c r="N429" s="319">
        <f>SUM(F429+H429+J429+L429)</f>
        <v>100</v>
      </c>
      <c r="O429" s="334">
        <f>SUM(G429+I429+K429+M429)</f>
        <v>100</v>
      </c>
    </row>
    <row r="430" spans="1:15" s="1" customFormat="1" ht="35.25" customHeight="1" x14ac:dyDescent="0.2">
      <c r="A430" s="599"/>
      <c r="B430" s="398" t="s">
        <v>60</v>
      </c>
      <c r="C430" s="596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319"/>
      <c r="O430" s="322"/>
    </row>
    <row r="431" spans="1:15" s="1" customFormat="1" ht="125.25" customHeight="1" x14ac:dyDescent="0.2">
      <c r="A431" s="599"/>
      <c r="B431" s="398" t="s">
        <v>145</v>
      </c>
      <c r="C431" s="596"/>
      <c r="D431" s="404">
        <v>100</v>
      </c>
      <c r="E431" s="225">
        <v>100</v>
      </c>
      <c r="F431" s="225">
        <v>25</v>
      </c>
      <c r="G431" s="225">
        <v>2.4</v>
      </c>
      <c r="H431" s="225">
        <v>25</v>
      </c>
      <c r="I431" s="225">
        <v>0</v>
      </c>
      <c r="J431" s="225">
        <v>25</v>
      </c>
      <c r="K431" s="225">
        <v>63.2</v>
      </c>
      <c r="L431" s="225">
        <v>25</v>
      </c>
      <c r="M431" s="225">
        <v>34.4</v>
      </c>
      <c r="N431" s="319">
        <f>SUM(F431+H431+J431+L431)</f>
        <v>100</v>
      </c>
      <c r="O431" s="334">
        <f>SUM(G431+I431+K431+M431)</f>
        <v>100</v>
      </c>
    </row>
    <row r="432" spans="1:15" s="1" customFormat="1" ht="22.5" customHeight="1" x14ac:dyDescent="0.2">
      <c r="A432" s="599"/>
      <c r="B432" s="398" t="s">
        <v>58</v>
      </c>
      <c r="C432" s="596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319"/>
      <c r="O432" s="322"/>
    </row>
    <row r="433" spans="1:15" s="1" customFormat="1" ht="22.5" customHeight="1" x14ac:dyDescent="0.2">
      <c r="A433" s="599"/>
      <c r="B433" s="398" t="s">
        <v>59</v>
      </c>
      <c r="C433" s="596"/>
      <c r="D433" s="225">
        <v>100</v>
      </c>
      <c r="E433" s="225">
        <v>100</v>
      </c>
      <c r="F433" s="225">
        <v>25</v>
      </c>
      <c r="G433" s="225">
        <v>2.4</v>
      </c>
      <c r="H433" s="225">
        <v>25</v>
      </c>
      <c r="I433" s="225">
        <v>0</v>
      </c>
      <c r="J433" s="225">
        <v>25</v>
      </c>
      <c r="K433" s="225">
        <v>63.2</v>
      </c>
      <c r="L433" s="225">
        <v>25</v>
      </c>
      <c r="M433" s="225">
        <v>34.4</v>
      </c>
      <c r="N433" s="319">
        <f>SUM(F433+H433+J433+L433)</f>
        <v>100</v>
      </c>
      <c r="O433" s="334">
        <f>SUM(G433+I433+K433+M433)</f>
        <v>100</v>
      </c>
    </row>
    <row r="434" spans="1:15" s="1" customFormat="1" ht="35.25" customHeight="1" x14ac:dyDescent="0.2">
      <c r="A434" s="599"/>
      <c r="B434" s="398" t="s">
        <v>60</v>
      </c>
      <c r="C434" s="596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319"/>
      <c r="O434" s="322"/>
    </row>
    <row r="435" spans="1:15" s="1" customFormat="1" ht="61.5" customHeight="1" x14ac:dyDescent="0.2">
      <c r="A435" s="599"/>
      <c r="B435" s="398" t="s">
        <v>146</v>
      </c>
      <c r="C435" s="596"/>
      <c r="D435" s="225">
        <v>90</v>
      </c>
      <c r="E435" s="225">
        <v>90</v>
      </c>
      <c r="F435" s="225">
        <v>22.5</v>
      </c>
      <c r="G435" s="225">
        <v>0</v>
      </c>
      <c r="H435" s="225">
        <v>22.5</v>
      </c>
      <c r="I435" s="225">
        <v>0</v>
      </c>
      <c r="J435" s="225">
        <v>22.5</v>
      </c>
      <c r="K435" s="225">
        <v>0</v>
      </c>
      <c r="L435" s="225">
        <v>22.5</v>
      </c>
      <c r="M435" s="225">
        <v>6.2</v>
      </c>
      <c r="N435" s="319">
        <f>SUM(F435+H435+J435+L435)</f>
        <v>90</v>
      </c>
      <c r="O435" s="334">
        <f>SUM(G435+I435+K435+M435)</f>
        <v>6.2</v>
      </c>
    </row>
    <row r="436" spans="1:15" s="1" customFormat="1" ht="22.5" customHeight="1" x14ac:dyDescent="0.2">
      <c r="A436" s="599"/>
      <c r="B436" s="398" t="s">
        <v>58</v>
      </c>
      <c r="C436" s="596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319"/>
      <c r="O436" s="322"/>
    </row>
    <row r="437" spans="1:15" s="1" customFormat="1" ht="22.5" customHeight="1" x14ac:dyDescent="0.2">
      <c r="A437" s="599"/>
      <c r="B437" s="398" t="s">
        <v>59</v>
      </c>
      <c r="C437" s="596"/>
      <c r="D437" s="225">
        <v>90</v>
      </c>
      <c r="E437" s="225">
        <v>90</v>
      </c>
      <c r="F437" s="225">
        <v>22.5</v>
      </c>
      <c r="G437" s="225">
        <v>0</v>
      </c>
      <c r="H437" s="225">
        <v>22.5</v>
      </c>
      <c r="I437" s="225">
        <v>0</v>
      </c>
      <c r="J437" s="225">
        <v>22.5</v>
      </c>
      <c r="K437" s="225">
        <v>0</v>
      </c>
      <c r="L437" s="225">
        <v>22.5</v>
      </c>
      <c r="M437" s="225">
        <v>6.2</v>
      </c>
      <c r="N437" s="319">
        <f>SUM(F437+H437+J437+L437)</f>
        <v>90</v>
      </c>
      <c r="O437" s="334">
        <f>SUM(G437+I437+K437+M437)</f>
        <v>6.2</v>
      </c>
    </row>
    <row r="438" spans="1:15" s="1" customFormat="1" ht="32.25" customHeight="1" thickBot="1" x14ac:dyDescent="0.25">
      <c r="A438" s="600"/>
      <c r="B438" s="398" t="s">
        <v>60</v>
      </c>
      <c r="C438" s="597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321"/>
      <c r="O438" s="322"/>
    </row>
    <row r="439" spans="1:15" s="1" customFormat="1" ht="32.25" customHeight="1" x14ac:dyDescent="0.25">
      <c r="A439" s="5" t="s">
        <v>12</v>
      </c>
      <c r="B439" s="32"/>
      <c r="C439" s="273"/>
      <c r="D439" s="110">
        <f t="shared" ref="D439:O441" si="101">SUM(D423+D419+D427+D415+D411+D407+D403+D435+D431)</f>
        <v>12132.400000000001</v>
      </c>
      <c r="E439" s="110">
        <f t="shared" si="101"/>
        <v>12132.400000000001</v>
      </c>
      <c r="F439" s="110">
        <f t="shared" si="101"/>
        <v>3166.6499999999996</v>
      </c>
      <c r="G439" s="110">
        <f t="shared" si="101"/>
        <v>2530.6</v>
      </c>
      <c r="H439" s="110">
        <f t="shared" si="101"/>
        <v>3166.6499999999996</v>
      </c>
      <c r="I439" s="110">
        <f t="shared" si="101"/>
        <v>3239.9000000000005</v>
      </c>
      <c r="J439" s="110">
        <f t="shared" si="101"/>
        <v>3166.6499999999996</v>
      </c>
      <c r="K439" s="110">
        <f t="shared" si="101"/>
        <v>3363.3</v>
      </c>
      <c r="L439" s="110">
        <f t="shared" si="101"/>
        <v>2632.4500000000003</v>
      </c>
      <c r="M439" s="110">
        <f t="shared" si="101"/>
        <v>2826.5</v>
      </c>
      <c r="N439" s="110">
        <f t="shared" si="101"/>
        <v>12132.399999999998</v>
      </c>
      <c r="O439" s="110">
        <f t="shared" si="101"/>
        <v>11960.3</v>
      </c>
    </row>
    <row r="440" spans="1:15" s="1" customFormat="1" ht="32.25" customHeight="1" x14ac:dyDescent="0.25">
      <c r="A440" s="580"/>
      <c r="B440" s="20" t="s">
        <v>58</v>
      </c>
      <c r="C440" s="20"/>
      <c r="D440" s="81"/>
      <c r="E440" s="80"/>
      <c r="F440" s="80"/>
      <c r="G440" s="80"/>
      <c r="H440" s="80"/>
      <c r="I440" s="80"/>
      <c r="J440" s="80"/>
      <c r="K440" s="80"/>
      <c r="L440" s="80"/>
      <c r="M440" s="80"/>
      <c r="N440" s="213"/>
      <c r="O440" s="11"/>
    </row>
    <row r="441" spans="1:15" ht="38.25" customHeight="1" x14ac:dyDescent="0.25">
      <c r="A441" s="574"/>
      <c r="B441" s="20" t="s">
        <v>59</v>
      </c>
      <c r="C441" s="20"/>
      <c r="D441" s="110">
        <f t="shared" si="101"/>
        <v>12132.400000000001</v>
      </c>
      <c r="E441" s="110">
        <f t="shared" si="101"/>
        <v>12132.400000000001</v>
      </c>
      <c r="F441" s="110">
        <f t="shared" si="101"/>
        <v>3166.6499999999996</v>
      </c>
      <c r="G441" s="110">
        <f t="shared" si="101"/>
        <v>2530.6</v>
      </c>
      <c r="H441" s="110">
        <f t="shared" si="101"/>
        <v>3166.6499999999996</v>
      </c>
      <c r="I441" s="110">
        <f t="shared" si="101"/>
        <v>3239.9000000000005</v>
      </c>
      <c r="J441" s="110">
        <f t="shared" si="101"/>
        <v>3166.6499999999996</v>
      </c>
      <c r="K441" s="110">
        <f t="shared" ref="K441:M441" si="102">SUM(K425+K421+K429+K413+K409+K405+K417)</f>
        <v>3300.1000000000004</v>
      </c>
      <c r="L441" s="110">
        <f t="shared" si="101"/>
        <v>2632.4500000000003</v>
      </c>
      <c r="M441" s="110">
        <f t="shared" si="102"/>
        <v>2785.9</v>
      </c>
      <c r="N441" s="110">
        <f t="shared" si="101"/>
        <v>12132.399999999998</v>
      </c>
      <c r="O441" s="110">
        <f t="shared" si="101"/>
        <v>11960.3</v>
      </c>
    </row>
    <row r="442" spans="1:15" ht="33" customHeight="1" thickBot="1" x14ac:dyDescent="0.25">
      <c r="A442" s="642"/>
      <c r="B442" s="78" t="s">
        <v>60</v>
      </c>
      <c r="C442" s="78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24"/>
      <c r="O442" s="128"/>
    </row>
    <row r="443" spans="1:15" ht="34.5" customHeight="1" x14ac:dyDescent="0.2">
      <c r="A443" s="36" t="s">
        <v>2</v>
      </c>
      <c r="B443" s="39"/>
      <c r="C443" s="264"/>
      <c r="D443" s="82">
        <f t="shared" ref="D443:O443" si="103">SUM(D439+D399+D376)</f>
        <v>101329.3</v>
      </c>
      <c r="E443" s="82">
        <f t="shared" si="103"/>
        <v>101329.3</v>
      </c>
      <c r="F443" s="82">
        <f t="shared" si="103"/>
        <v>18433.649999999998</v>
      </c>
      <c r="G443" s="82">
        <f t="shared" si="103"/>
        <v>17788.2</v>
      </c>
      <c r="H443" s="82">
        <f t="shared" si="103"/>
        <v>20532.350000000002</v>
      </c>
      <c r="I443" s="82">
        <f t="shared" si="103"/>
        <v>19714.100000000002</v>
      </c>
      <c r="J443" s="82">
        <f t="shared" si="103"/>
        <v>20893.949999999997</v>
      </c>
      <c r="K443" s="82">
        <f t="shared" si="103"/>
        <v>19448.099999999999</v>
      </c>
      <c r="L443" s="82">
        <f t="shared" si="103"/>
        <v>41469.25</v>
      </c>
      <c r="M443" s="82">
        <f t="shared" si="103"/>
        <v>21403.699999999997</v>
      </c>
      <c r="N443" s="82">
        <f t="shared" si="103"/>
        <v>101329.20000000001</v>
      </c>
      <c r="O443" s="27">
        <f t="shared" si="103"/>
        <v>78354.100000000006</v>
      </c>
    </row>
    <row r="444" spans="1:15" s="1" customFormat="1" ht="32.25" customHeight="1" x14ac:dyDescent="0.2">
      <c r="A444" s="28"/>
      <c r="B444" s="39" t="s">
        <v>58</v>
      </c>
      <c r="C444" s="39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63"/>
    </row>
    <row r="445" spans="1:15" s="1" customFormat="1" ht="37.5" customHeight="1" x14ac:dyDescent="0.2">
      <c r="A445" s="53"/>
      <c r="B445" s="39" t="s">
        <v>59</v>
      </c>
      <c r="C445" s="264"/>
      <c r="D445" s="27">
        <f t="shared" ref="D445:M445" si="104">SUM(D441+D401+D378)</f>
        <v>101316.90000000001</v>
      </c>
      <c r="E445" s="27">
        <f t="shared" si="104"/>
        <v>101316.90000000001</v>
      </c>
      <c r="F445" s="27">
        <f t="shared" si="104"/>
        <v>18421.25</v>
      </c>
      <c r="G445" s="27">
        <f t="shared" si="104"/>
        <v>17785.2</v>
      </c>
      <c r="H445" s="27">
        <f t="shared" si="104"/>
        <v>20532.350000000002</v>
      </c>
      <c r="I445" s="27">
        <f t="shared" si="104"/>
        <v>19710.100000000002</v>
      </c>
      <c r="J445" s="27">
        <f t="shared" si="104"/>
        <v>20893.949999999997</v>
      </c>
      <c r="K445" s="27">
        <f t="shared" si="104"/>
        <v>19384.899999999998</v>
      </c>
      <c r="L445" s="27">
        <f t="shared" si="104"/>
        <v>41469.25</v>
      </c>
      <c r="M445" s="27">
        <f t="shared" si="104"/>
        <v>21357.7</v>
      </c>
      <c r="N445" s="27">
        <f>SUM(F445+H445+J445+L445)</f>
        <v>101316.8</v>
      </c>
      <c r="O445" s="27">
        <f>SUM(G445+I445+K445+M445)</f>
        <v>78237.899999999994</v>
      </c>
    </row>
    <row r="446" spans="1:15" s="1" customFormat="1" ht="37.5" customHeight="1" x14ac:dyDescent="0.2">
      <c r="A446" s="28"/>
      <c r="B446" s="51" t="s">
        <v>61</v>
      </c>
      <c r="C446" s="51"/>
      <c r="D446" s="31">
        <f t="shared" ref="D446:L446" si="105">SUM(D379)</f>
        <v>12.4</v>
      </c>
      <c r="E446" s="31">
        <f t="shared" si="105"/>
        <v>12.4</v>
      </c>
      <c r="F446" s="31">
        <f t="shared" si="105"/>
        <v>12.4</v>
      </c>
      <c r="G446" s="31">
        <f t="shared" si="105"/>
        <v>3</v>
      </c>
      <c r="H446" s="31">
        <f t="shared" si="105"/>
        <v>0</v>
      </c>
      <c r="I446" s="31">
        <f t="shared" si="105"/>
        <v>4</v>
      </c>
      <c r="J446" s="31">
        <f t="shared" si="105"/>
        <v>0</v>
      </c>
      <c r="K446" s="31">
        <f t="shared" si="105"/>
        <v>0</v>
      </c>
      <c r="L446" s="31">
        <f t="shared" si="105"/>
        <v>0</v>
      </c>
      <c r="M446" s="31">
        <f>SUM(M442+M402+M379)</f>
        <v>5.4</v>
      </c>
      <c r="N446" s="31">
        <f>SUM(N379)</f>
        <v>12.4</v>
      </c>
      <c r="O446" s="409">
        <f>SUM(O379)</f>
        <v>12.4</v>
      </c>
    </row>
    <row r="447" spans="1:15" s="1" customFormat="1" ht="37.5" customHeight="1" x14ac:dyDescent="0.25">
      <c r="A447" s="584" t="s">
        <v>42</v>
      </c>
      <c r="B447" s="585"/>
      <c r="C447" s="585"/>
      <c r="D447" s="585"/>
      <c r="E447" s="585"/>
      <c r="F447" s="585"/>
      <c r="G447" s="585"/>
      <c r="H447" s="585"/>
      <c r="I447" s="585"/>
      <c r="J447" s="585"/>
      <c r="K447" s="585"/>
      <c r="L447" s="585"/>
      <c r="M447" s="585"/>
      <c r="N447" s="585"/>
      <c r="O447" s="586"/>
    </row>
    <row r="448" spans="1:15" s="155" customFormat="1" ht="63.75" x14ac:dyDescent="0.2">
      <c r="A448" s="593"/>
      <c r="B448" s="416" t="s">
        <v>115</v>
      </c>
      <c r="C448" s="297"/>
      <c r="D448" s="414"/>
      <c r="E448" s="414"/>
      <c r="F448" s="414"/>
      <c r="G448" s="414"/>
      <c r="H448" s="414"/>
      <c r="I448" s="414"/>
      <c r="J448" s="414"/>
      <c r="K448" s="414"/>
      <c r="L448" s="414"/>
      <c r="M448" s="414"/>
      <c r="N448" s="414"/>
      <c r="O448" s="414"/>
    </row>
    <row r="449" spans="1:15" s="155" customFormat="1" ht="22.5" customHeight="1" thickBot="1" x14ac:dyDescent="0.25">
      <c r="A449" s="594"/>
      <c r="B449" s="413" t="s">
        <v>59</v>
      </c>
      <c r="C449" s="297"/>
      <c r="D449" s="414">
        <v>50</v>
      </c>
      <c r="E449" s="414">
        <v>50</v>
      </c>
      <c r="F449" s="414">
        <v>0</v>
      </c>
      <c r="G449" s="414">
        <v>0</v>
      </c>
      <c r="H449" s="414">
        <v>0</v>
      </c>
      <c r="I449" s="414">
        <v>0</v>
      </c>
      <c r="J449" s="414">
        <v>50</v>
      </c>
      <c r="K449" s="414">
        <v>0</v>
      </c>
      <c r="L449" s="414">
        <v>0</v>
      </c>
      <c r="M449" s="414">
        <v>0</v>
      </c>
      <c r="N449" s="414">
        <f>SUM(F449+H449+J449+L449)</f>
        <v>50</v>
      </c>
      <c r="O449" s="414">
        <f>SUM(G449+I449+K449+M449)</f>
        <v>0</v>
      </c>
    </row>
    <row r="450" spans="1:15" s="155" customFormat="1" ht="37.5" x14ac:dyDescent="0.2">
      <c r="A450" s="28" t="s">
        <v>12</v>
      </c>
      <c r="B450" s="83"/>
      <c r="C450" s="280"/>
      <c r="D450" s="31">
        <f>SUM(D449)</f>
        <v>50</v>
      </c>
      <c r="E450" s="409">
        <f>SUM(E449)</f>
        <v>50</v>
      </c>
      <c r="F450" s="409">
        <f>SUM(F449)</f>
        <v>0</v>
      </c>
      <c r="G450" s="409">
        <f>SUM(G449)</f>
        <v>0</v>
      </c>
      <c r="H450" s="409">
        <f>SUM(H449)</f>
        <v>0</v>
      </c>
      <c r="I450" s="409">
        <f>SUM(I449)</f>
        <v>0</v>
      </c>
      <c r="J450" s="409">
        <f>SUM(J449)</f>
        <v>50</v>
      </c>
      <c r="K450" s="409">
        <f>SUM(K449)</f>
        <v>0</v>
      </c>
      <c r="L450" s="409">
        <f>SUM(L449)</f>
        <v>0</v>
      </c>
      <c r="M450" s="409">
        <f>SUM(M449)</f>
        <v>0</v>
      </c>
      <c r="N450" s="217">
        <f>SUM(F450+H450+J450+L450)</f>
        <v>50</v>
      </c>
      <c r="O450" s="217">
        <f>SUM(G450+I450+K450+M450)</f>
        <v>0</v>
      </c>
    </row>
    <row r="451" spans="1:15" s="155" customFormat="1" ht="39" customHeight="1" x14ac:dyDescent="0.2">
      <c r="A451" s="576"/>
      <c r="B451" s="39" t="s">
        <v>58</v>
      </c>
      <c r="C451" s="39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</row>
    <row r="452" spans="1:15" ht="15.75" x14ac:dyDescent="0.2">
      <c r="A452" s="577"/>
      <c r="B452" s="39" t="s">
        <v>59</v>
      </c>
      <c r="C452" s="39"/>
      <c r="D452" s="31">
        <f>SUM(D449)</f>
        <v>50</v>
      </c>
      <c r="E452" s="409">
        <f>SUM(E449)</f>
        <v>50</v>
      </c>
      <c r="F452" s="409">
        <f>SUM(F449)</f>
        <v>0</v>
      </c>
      <c r="G452" s="409">
        <f>SUM(G449)</f>
        <v>0</v>
      </c>
      <c r="H452" s="409">
        <f>SUM(H449)</f>
        <v>0</v>
      </c>
      <c r="I452" s="409">
        <f>SUM(I449)</f>
        <v>0</v>
      </c>
      <c r="J452" s="409">
        <f>SUM(J449)</f>
        <v>50</v>
      </c>
      <c r="K452" s="409">
        <f>SUM(K449)</f>
        <v>0</v>
      </c>
      <c r="L452" s="409">
        <f>SUM(L449)</f>
        <v>0</v>
      </c>
      <c r="M452" s="409">
        <f>SUM(M449)</f>
        <v>0</v>
      </c>
      <c r="N452" s="217">
        <f>SUM(F452+H452+J452+L452)</f>
        <v>50</v>
      </c>
      <c r="O452" s="217">
        <f>SUM(G452+I452+K452+M452)</f>
        <v>0</v>
      </c>
    </row>
    <row r="453" spans="1:15" ht="31.5" x14ac:dyDescent="0.2">
      <c r="A453" s="577"/>
      <c r="B453" s="84" t="s">
        <v>60</v>
      </c>
      <c r="C453" s="84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</row>
    <row r="454" spans="1:15" ht="21.75" customHeight="1" x14ac:dyDescent="0.25">
      <c r="A454" s="646" t="s">
        <v>72</v>
      </c>
      <c r="B454" s="647"/>
      <c r="C454" s="647"/>
      <c r="D454" s="647"/>
      <c r="E454" s="647"/>
      <c r="F454" s="647"/>
      <c r="G454" s="647"/>
      <c r="H454" s="647"/>
      <c r="I454" s="647"/>
      <c r="J454" s="647"/>
      <c r="K454" s="647"/>
      <c r="L454" s="647"/>
      <c r="M454" s="647"/>
      <c r="N454" s="647"/>
      <c r="O454" s="648"/>
    </row>
    <row r="455" spans="1:15" s="439" customFormat="1" ht="59.25" customHeight="1" x14ac:dyDescent="0.25">
      <c r="A455" s="573"/>
      <c r="B455" s="689" t="s">
        <v>211</v>
      </c>
      <c r="C455" s="445"/>
      <c r="D455" s="524">
        <v>14758.31</v>
      </c>
      <c r="E455" s="524">
        <v>14758.31</v>
      </c>
      <c r="F455" s="524">
        <v>0</v>
      </c>
      <c r="G455" s="524">
        <v>0</v>
      </c>
      <c r="H455" s="524">
        <v>14758.31</v>
      </c>
      <c r="I455" s="524">
        <v>14758.31</v>
      </c>
      <c r="J455" s="524">
        <v>0</v>
      </c>
      <c r="K455" s="524">
        <v>0</v>
      </c>
      <c r="L455" s="524">
        <v>0</v>
      </c>
      <c r="M455" s="524">
        <v>0</v>
      </c>
      <c r="N455" s="693">
        <f>SUM(H455+J455)</f>
        <v>14758.31</v>
      </c>
      <c r="O455" s="693">
        <f>SUM(G455+I455+K455+M455)</f>
        <v>14758.31</v>
      </c>
    </row>
    <row r="456" spans="1:15" s="439" customFormat="1" ht="24.75" customHeight="1" x14ac:dyDescent="0.25">
      <c r="A456" s="574"/>
      <c r="B456" s="688" t="s">
        <v>59</v>
      </c>
      <c r="C456" s="445"/>
      <c r="D456" s="524">
        <v>1328.21</v>
      </c>
      <c r="E456" s="524">
        <v>1328.21</v>
      </c>
      <c r="F456" s="524"/>
      <c r="G456" s="524"/>
      <c r="H456" s="524">
        <v>1328.21</v>
      </c>
      <c r="I456" s="524">
        <v>1328.21</v>
      </c>
      <c r="J456" s="524"/>
      <c r="K456" s="524"/>
      <c r="L456" s="524"/>
      <c r="M456" s="524"/>
      <c r="N456" s="692">
        <f>SUM(H456+J456)</f>
        <v>1328.21</v>
      </c>
      <c r="O456" s="692">
        <f>SUM(I456+K456)</f>
        <v>1328.21</v>
      </c>
    </row>
    <row r="457" spans="1:15" s="439" customFormat="1" ht="30" customHeight="1" x14ac:dyDescent="0.25">
      <c r="A457" s="574"/>
      <c r="B457" s="689" t="s">
        <v>60</v>
      </c>
      <c r="C457" s="445"/>
      <c r="D457" s="524">
        <v>13430.1</v>
      </c>
      <c r="E457" s="524">
        <v>13430.1</v>
      </c>
      <c r="F457" s="524"/>
      <c r="G457" s="524"/>
      <c r="H457" s="524">
        <v>13430.1</v>
      </c>
      <c r="I457" s="524">
        <v>13430.1</v>
      </c>
      <c r="J457" s="524">
        <v>0</v>
      </c>
      <c r="K457" s="524"/>
      <c r="L457" s="524"/>
      <c r="M457" s="524"/>
      <c r="N457" s="514">
        <f>SUM(H457+J457)</f>
        <v>13430.1</v>
      </c>
      <c r="O457" s="514">
        <f>SUM(G457+I457+K457+M457)</f>
        <v>13430.1</v>
      </c>
    </row>
    <row r="458" spans="1:15" s="553" customFormat="1" ht="30" customHeight="1" x14ac:dyDescent="0.25">
      <c r="A458" s="574"/>
      <c r="B458" s="689" t="s">
        <v>212</v>
      </c>
      <c r="C458" s="518"/>
      <c r="D458" s="524"/>
      <c r="E458" s="524"/>
      <c r="F458" s="524"/>
      <c r="G458" s="524"/>
      <c r="H458" s="524"/>
      <c r="I458" s="524"/>
      <c r="J458" s="524"/>
      <c r="K458" s="524"/>
      <c r="L458" s="524"/>
      <c r="M458" s="524"/>
      <c r="N458" s="519"/>
      <c r="O458" s="519"/>
    </row>
    <row r="459" spans="1:15" s="553" customFormat="1" ht="30" customHeight="1" x14ac:dyDescent="0.25">
      <c r="A459" s="574"/>
      <c r="B459" s="688" t="s">
        <v>59</v>
      </c>
      <c r="C459" s="518"/>
      <c r="D459" s="524">
        <v>785.3</v>
      </c>
      <c r="E459" s="524">
        <v>785.3</v>
      </c>
      <c r="F459" s="524">
        <v>0</v>
      </c>
      <c r="G459" s="524">
        <v>0</v>
      </c>
      <c r="H459" s="524">
        <v>785.3</v>
      </c>
      <c r="I459" s="524">
        <v>25</v>
      </c>
      <c r="J459" s="524">
        <v>0</v>
      </c>
      <c r="K459" s="524">
        <v>0</v>
      </c>
      <c r="L459" s="524">
        <v>0</v>
      </c>
      <c r="M459" s="524">
        <v>675</v>
      </c>
      <c r="N459" s="695">
        <f>SUM(H459+J459)</f>
        <v>785.3</v>
      </c>
      <c r="O459" s="695">
        <f>SUM(G459+I459+K459+M459)</f>
        <v>700</v>
      </c>
    </row>
    <row r="460" spans="1:15" s="553" customFormat="1" ht="30" customHeight="1" x14ac:dyDescent="0.25">
      <c r="A460" s="574"/>
      <c r="B460" s="689" t="s">
        <v>213</v>
      </c>
      <c r="C460" s="518"/>
      <c r="D460" s="524"/>
      <c r="E460" s="524"/>
      <c r="F460" s="524"/>
      <c r="G460" s="524"/>
      <c r="H460" s="524"/>
      <c r="I460" s="524"/>
      <c r="J460" s="524"/>
      <c r="K460" s="524"/>
      <c r="L460" s="524"/>
      <c r="M460" s="524"/>
      <c r="N460" s="519"/>
      <c r="O460" s="519"/>
    </row>
    <row r="461" spans="1:15" s="553" customFormat="1" ht="30" customHeight="1" x14ac:dyDescent="0.25">
      <c r="A461" s="574"/>
      <c r="B461" s="688" t="s">
        <v>59</v>
      </c>
      <c r="C461" s="518"/>
      <c r="D461" s="524">
        <v>2489.3000000000002</v>
      </c>
      <c r="E461" s="524">
        <v>2489.3000000000002</v>
      </c>
      <c r="F461" s="524">
        <v>0</v>
      </c>
      <c r="G461" s="524">
        <v>0</v>
      </c>
      <c r="H461" s="524">
        <v>2489.3000000000002</v>
      </c>
      <c r="I461" s="524">
        <v>0</v>
      </c>
      <c r="J461" s="524">
        <v>0</v>
      </c>
      <c r="K461" s="524">
        <v>0</v>
      </c>
      <c r="L461" s="524">
        <v>0</v>
      </c>
      <c r="M461" s="524">
        <v>37.93</v>
      </c>
      <c r="N461" s="695">
        <f>SUM(H461+J461)</f>
        <v>2489.3000000000002</v>
      </c>
      <c r="O461" s="695">
        <f>SUM(G461+I461+K461+M461)</f>
        <v>37.93</v>
      </c>
    </row>
    <row r="462" spans="1:15" s="553" customFormat="1" ht="30" customHeight="1" x14ac:dyDescent="0.25">
      <c r="A462" s="574"/>
      <c r="B462" s="689" t="s">
        <v>214</v>
      </c>
      <c r="C462" s="518"/>
      <c r="D462" s="524"/>
      <c r="E462" s="524"/>
      <c r="F462" s="524"/>
      <c r="G462" s="524"/>
      <c r="H462" s="524"/>
      <c r="I462" s="524"/>
      <c r="J462" s="524"/>
      <c r="K462" s="524"/>
      <c r="L462" s="524"/>
      <c r="M462" s="524"/>
      <c r="N462" s="519"/>
      <c r="O462" s="519"/>
    </row>
    <row r="463" spans="1:15" s="553" customFormat="1" ht="30" customHeight="1" x14ac:dyDescent="0.25">
      <c r="A463" s="574"/>
      <c r="B463" s="690" t="s">
        <v>59</v>
      </c>
      <c r="C463" s="518"/>
      <c r="D463" s="524">
        <v>250</v>
      </c>
      <c r="E463" s="524">
        <v>250</v>
      </c>
      <c r="F463" s="524">
        <v>250</v>
      </c>
      <c r="G463" s="524">
        <v>145.30000000000001</v>
      </c>
      <c r="H463" s="524">
        <v>0</v>
      </c>
      <c r="I463" s="524">
        <v>104.54</v>
      </c>
      <c r="J463" s="524">
        <v>0</v>
      </c>
      <c r="K463" s="524">
        <v>0</v>
      </c>
      <c r="L463" s="524">
        <v>0</v>
      </c>
      <c r="M463" s="524">
        <v>0</v>
      </c>
      <c r="N463" s="695">
        <f>SUM(F463+H463+J463+L463)</f>
        <v>250</v>
      </c>
      <c r="O463" s="695">
        <f>SUM(G463+I463+K463+M463)</f>
        <v>249.84000000000003</v>
      </c>
    </row>
    <row r="464" spans="1:15" s="694" customFormat="1" ht="79.5" customHeight="1" x14ac:dyDescent="0.25">
      <c r="A464" s="574"/>
      <c r="B464" s="698" t="s">
        <v>215</v>
      </c>
      <c r="C464" s="696"/>
      <c r="D464" s="524"/>
      <c r="E464" s="524"/>
      <c r="F464" s="524"/>
      <c r="G464" s="524"/>
      <c r="H464" s="524"/>
      <c r="I464" s="524"/>
      <c r="J464" s="524"/>
      <c r="K464" s="524"/>
      <c r="L464" s="524"/>
      <c r="M464" s="524"/>
      <c r="N464" s="695"/>
      <c r="O464" s="695"/>
    </row>
    <row r="465" spans="1:15" s="694" customFormat="1" ht="30" customHeight="1" x14ac:dyDescent="0.25">
      <c r="A465" s="574"/>
      <c r="B465" s="697" t="s">
        <v>59</v>
      </c>
      <c r="C465" s="696"/>
      <c r="D465" s="524">
        <v>1783</v>
      </c>
      <c r="E465" s="524">
        <v>1783</v>
      </c>
      <c r="F465" s="524"/>
      <c r="G465" s="524"/>
      <c r="H465" s="524"/>
      <c r="I465" s="524"/>
      <c r="J465" s="524"/>
      <c r="K465" s="524"/>
      <c r="L465" s="524">
        <v>1783</v>
      </c>
      <c r="M465" s="524">
        <v>1783</v>
      </c>
      <c r="N465" s="701">
        <f>SUM(F465+H465+J465+L465)</f>
        <v>1783</v>
      </c>
      <c r="O465" s="701">
        <f>SUM(G465+I465+K465+M465)</f>
        <v>1783</v>
      </c>
    </row>
    <row r="466" spans="1:15" s="509" customFormat="1" ht="48" customHeight="1" x14ac:dyDescent="0.25">
      <c r="A466" s="574"/>
      <c r="B466" s="691" t="s">
        <v>216</v>
      </c>
      <c r="C466" s="518"/>
      <c r="D466" s="524"/>
      <c r="E466" s="524"/>
      <c r="F466" s="524"/>
      <c r="G466" s="524"/>
      <c r="H466" s="524"/>
      <c r="I466" s="524"/>
      <c r="J466" s="524"/>
      <c r="K466" s="524"/>
      <c r="L466" s="524"/>
      <c r="M466" s="524"/>
      <c r="N466" s="514"/>
      <c r="O466" s="514"/>
    </row>
    <row r="467" spans="1:15" s="439" customFormat="1" ht="30" customHeight="1" thickBot="1" x14ac:dyDescent="0.3">
      <c r="A467" s="575"/>
      <c r="B467" s="690" t="s">
        <v>59</v>
      </c>
      <c r="C467" s="445"/>
      <c r="D467" s="524">
        <v>108.5</v>
      </c>
      <c r="E467" s="524">
        <v>108.5</v>
      </c>
      <c r="F467" s="524"/>
      <c r="G467" s="524"/>
      <c r="H467" s="524"/>
      <c r="I467" s="524"/>
      <c r="J467" s="524"/>
      <c r="K467" s="524"/>
      <c r="L467" s="524">
        <v>108.5</v>
      </c>
      <c r="M467" s="524">
        <v>108.41</v>
      </c>
      <c r="N467" s="695">
        <f>SUM(L467)</f>
        <v>108.5</v>
      </c>
      <c r="O467" s="695">
        <f>SUM(G467+I467+K467+M467)</f>
        <v>108.41</v>
      </c>
    </row>
    <row r="468" spans="1:15" s="155" customFormat="1" ht="48" customHeight="1" x14ac:dyDescent="0.2">
      <c r="A468" s="28" t="s">
        <v>12</v>
      </c>
      <c r="B468" s="83"/>
      <c r="C468" s="280"/>
      <c r="D468" s="492">
        <f>SUM(D455+D459+D461+D463+D467+D465)</f>
        <v>20174.41</v>
      </c>
      <c r="E468" s="704">
        <f>SUM(E455+E459+E461+E463+E467+E465)</f>
        <v>20174.41</v>
      </c>
      <c r="F468" s="704">
        <f>SUM(F455+F459+F461+F463+F467+F465)</f>
        <v>250</v>
      </c>
      <c r="G468" s="704">
        <f>SUM(G455+G459+G461+G463+G467+G465)</f>
        <v>145.30000000000001</v>
      </c>
      <c r="H468" s="704">
        <f>SUM(H455+H459+H461+H463+H467+H465)</f>
        <v>18032.91</v>
      </c>
      <c r="I468" s="704">
        <f>SUM(I455+I459+I461+I463+I467+I465)</f>
        <v>14887.85</v>
      </c>
      <c r="J468" s="704">
        <f>SUM(J455+J459+J461+J463+J467+J465)</f>
        <v>0</v>
      </c>
      <c r="K468" s="704">
        <f>SUM(K455+K459+K461+K463+K467+K465)</f>
        <v>0</v>
      </c>
      <c r="L468" s="704">
        <f>SUM(L455+L459+L461+L463+L467+L465)</f>
        <v>1891.5</v>
      </c>
      <c r="M468" s="704">
        <f>SUM(M455+M459+M461+M463+M467+M465)</f>
        <v>2604.34</v>
      </c>
      <c r="N468" s="704">
        <f>SUM(N455+N459+N461+N463+N467+N465)</f>
        <v>20174.41</v>
      </c>
      <c r="O468" s="704">
        <f>SUM(O455+O459+O461+O463+O467+O465)</f>
        <v>17637.489999999998</v>
      </c>
    </row>
    <row r="469" spans="1:15" s="155" customFormat="1" ht="15.75" x14ac:dyDescent="0.2">
      <c r="A469" s="576"/>
      <c r="B469" s="441" t="s">
        <v>58</v>
      </c>
      <c r="C469" s="410"/>
      <c r="D469" s="492"/>
      <c r="E469" s="492"/>
      <c r="F469" s="492"/>
      <c r="G469" s="492"/>
      <c r="H469" s="492"/>
      <c r="I469" s="492"/>
      <c r="J469" s="492"/>
      <c r="K469" s="492"/>
      <c r="L469" s="492"/>
      <c r="M469" s="492"/>
      <c r="N469" s="492"/>
      <c r="O469" s="493"/>
    </row>
    <row r="470" spans="1:15" ht="15.75" x14ac:dyDescent="0.2">
      <c r="A470" s="577"/>
      <c r="B470" s="441" t="s">
        <v>59</v>
      </c>
      <c r="C470" s="410"/>
      <c r="D470" s="492">
        <f>SUM(D467+D465+D463+D461+D459+D456)</f>
        <v>6744.31</v>
      </c>
      <c r="E470" s="704">
        <f>SUM(E467+E465+E463+E461+E459+E456)</f>
        <v>6744.31</v>
      </c>
      <c r="F470" s="704">
        <f>SUM(F467+F465+F463+F461+F459+F456)</f>
        <v>250</v>
      </c>
      <c r="G470" s="704">
        <f>SUM(G467+G465+G463+G461+G459+G456)</f>
        <v>145.30000000000001</v>
      </c>
      <c r="H470" s="704">
        <f>SUM(H467+H465+H463+H461+H459+H456)</f>
        <v>4602.8100000000004</v>
      </c>
      <c r="I470" s="704">
        <f>SUM(I467+I465+I463+I461+I459+I456)</f>
        <v>1457.75</v>
      </c>
      <c r="J470" s="704">
        <f>SUM(J467+J465+J463+J461+J459+J456)</f>
        <v>0</v>
      </c>
      <c r="K470" s="704">
        <f>SUM(K467+K465+K463+K461+K459+K456)</f>
        <v>0</v>
      </c>
      <c r="L470" s="704">
        <f>SUM(L467+L465+L463+L461+L459+L456)</f>
        <v>1891.5</v>
      </c>
      <c r="M470" s="704">
        <f>SUM(M467+M465+M463+M461+M459+M456)</f>
        <v>2604.34</v>
      </c>
      <c r="N470" s="704">
        <f>SUM(N467+N465+N463+N461+N459+N456)</f>
        <v>6744.31</v>
      </c>
      <c r="O470" s="704">
        <f>SUM(O467+O465+O463+O461+O459+O456)</f>
        <v>4207.3899999999994</v>
      </c>
    </row>
    <row r="471" spans="1:15" ht="31.5" x14ac:dyDescent="0.2">
      <c r="A471" s="577"/>
      <c r="B471" s="442" t="s">
        <v>60</v>
      </c>
      <c r="C471" s="411"/>
      <c r="D471" s="492">
        <f>SUM(D457)</f>
        <v>13430.1</v>
      </c>
      <c r="E471" s="704">
        <f>SUM(E457)</f>
        <v>13430.1</v>
      </c>
      <c r="F471" s="704">
        <f>SUM(F457)</f>
        <v>0</v>
      </c>
      <c r="G471" s="704">
        <f>SUM(G457)</f>
        <v>0</v>
      </c>
      <c r="H471" s="704">
        <f>SUM(H457)</f>
        <v>13430.1</v>
      </c>
      <c r="I471" s="704">
        <f>SUM(I457)</f>
        <v>13430.1</v>
      </c>
      <c r="J471" s="704">
        <f>SUM(J457)</f>
        <v>0</v>
      </c>
      <c r="K471" s="704">
        <f>SUM(K457)</f>
        <v>0</v>
      </c>
      <c r="L471" s="704">
        <f>SUM(L457)</f>
        <v>0</v>
      </c>
      <c r="M471" s="704">
        <f>SUM(M457)</f>
        <v>0</v>
      </c>
      <c r="N471" s="704">
        <f>SUM(N457)</f>
        <v>13430.1</v>
      </c>
      <c r="O471" s="704">
        <f>SUM(O457)</f>
        <v>13430.1</v>
      </c>
    </row>
    <row r="472" spans="1:15" ht="37.5" x14ac:dyDescent="0.2">
      <c r="A472" s="105" t="s">
        <v>50</v>
      </c>
      <c r="B472" s="151"/>
      <c r="C472" s="151"/>
      <c r="D472" s="687">
        <f>SUM(D450+D443+D366+D337+D314+D256+D241+D224+D158+D50+D17+D10+D468+D58)</f>
        <v>696882.66</v>
      </c>
      <c r="E472" s="687">
        <f>SUM(E450+E443+E366+E337+E314+E256+E241+E224+E158+E50+E17+E10+E468+E58)</f>
        <v>696882.66</v>
      </c>
      <c r="F472" s="687">
        <f>SUM(F450+F443+F366+F337+F314+F256+F241+F224+F158+F50+F17+F10+F468+F58)</f>
        <v>87784.14999999998</v>
      </c>
      <c r="G472" s="687">
        <f>SUM(G450+G443+G366+G337+G314+G256+G241+G224+G158+G50+G17+G10+G468+G58)</f>
        <v>80817.499999999985</v>
      </c>
      <c r="H472" s="687">
        <f>SUM(H450+H443+H366+H337+H314+H256+H241+H224+H158+H50+H17+H10+H468+H58)</f>
        <v>161804.30999999997</v>
      </c>
      <c r="I472" s="687">
        <f>SUM(I450+I443+I366+I337+I314+I256+I241+I224+I158+I50+I17+I10+I468+I58)</f>
        <v>130131.46</v>
      </c>
      <c r="J472" s="687">
        <f>SUM(J450+J443+J366+J337+J314+J256+J241+J224+J158+J50+J17+J10+J468+J58)</f>
        <v>153068.08999999997</v>
      </c>
      <c r="K472" s="687">
        <f>SUM(K450+K443+K366+K337+K314+K256+K241+K224+K158+K50+K17+K10+K468+K58)</f>
        <v>155179.48000000001</v>
      </c>
      <c r="L472" s="687">
        <f>SUM(L450+L443+L366+L337+L314+L256+L241+L224+L158+L50+L17+L10+L468+L58)</f>
        <v>293996.04000000004</v>
      </c>
      <c r="M472" s="687">
        <f>SUM(M450+M443+M366+M337+M314+M256+M241+M224+M158+M50+M17+M10+M468+M58)</f>
        <v>165064.24</v>
      </c>
      <c r="N472" s="687">
        <f>SUM(N450+N443+N366+N337+N314+N256+N241+N224+N158+N50+N17+N10+N468+N58)</f>
        <v>696882.59000000008</v>
      </c>
      <c r="O472" s="687">
        <f>SUM(O450+O443+O366+O337+O314+O256+O241+O224+O158+O50+O17+O10+O468+O58)</f>
        <v>533954.35000000009</v>
      </c>
    </row>
    <row r="473" spans="1:15" ht="18.75" x14ac:dyDescent="0.2">
      <c r="A473" s="15"/>
      <c r="B473" s="85" t="s">
        <v>58</v>
      </c>
      <c r="C473" s="85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233"/>
      <c r="O473" s="234"/>
    </row>
    <row r="474" spans="1:15" ht="43.5" customHeight="1" x14ac:dyDescent="0.2">
      <c r="A474" s="15"/>
      <c r="B474" s="85" t="s">
        <v>59</v>
      </c>
      <c r="C474" s="85"/>
      <c r="D474" s="687">
        <f>SUM(D470+D452+D445+D368+D339+D316+D258+D243+D226+D160+D52+D19+D12+D60)</f>
        <v>626189.16</v>
      </c>
      <c r="E474" s="687">
        <f>SUM(E470+E452+E445+E368+E339+E316+E258+E243+E226+E160+E52+E19+E12+E60)</f>
        <v>626189.16</v>
      </c>
      <c r="F474" s="687">
        <f>SUM(F470+F452+F445+F368+F339+F316+F258+F243+F226+F160+F52+F19+F12+F60)</f>
        <v>85778.049999999988</v>
      </c>
      <c r="G474" s="687">
        <f>SUM(G470+G452+G445+G368+G339+G316+G258+G243+G226+G160+G52+G19+G12+G60)</f>
        <v>78820.89999999998</v>
      </c>
      <c r="H474" s="687">
        <f>SUM(H470+H452+H445+H368+H339+H316+H258+H243+H226+H160+H52+H19+H12+H60)</f>
        <v>134121.60999999999</v>
      </c>
      <c r="I474" s="687">
        <f>SUM(I470+I452+I445+I368+I339+I316+I258+I243+I226+I160+I52+I19+I12+I60)</f>
        <v>112792.11</v>
      </c>
      <c r="J474" s="687">
        <f>SUM(J470+J452+J445+J368+J339+J316+J258+J243+J226+J160+J52+J19+J12+J60)</f>
        <v>146414.94999999998</v>
      </c>
      <c r="K474" s="687">
        <f>SUM(K470+K452+K445+K368+K339+K316+K258+K243+K226+K160+K52+K19+K12+K60)</f>
        <v>138384.94000000003</v>
      </c>
      <c r="L474" s="687">
        <f>SUM(L470+L452+L445+L368+L339+L316+L258+L243+L226+L160+L52+L19+L12+L60)</f>
        <v>259924.47999999998</v>
      </c>
      <c r="M474" s="687">
        <f>SUM(M470+M452+M445+M368+M339+M316+M258+M243+M226+M160+M52+M19+M12+M60)</f>
        <v>133281.47999999998</v>
      </c>
      <c r="N474" s="687">
        <f>SUM(N470+N452+N445+N368+N339+N316+N258+N243+N226+N160+N52+N19+N12+N60)</f>
        <v>626239.09000000008</v>
      </c>
      <c r="O474" s="687">
        <f>SUM(O470+O452+O445+O368+O339+O316+O258+O243+O226+O160+O52+O19+O12+O60)</f>
        <v>465792.2</v>
      </c>
    </row>
    <row r="475" spans="1:15" ht="31.5" x14ac:dyDescent="0.2">
      <c r="A475" s="235"/>
      <c r="B475" s="86" t="s">
        <v>60</v>
      </c>
      <c r="C475" s="86"/>
      <c r="D475" s="366">
        <f>SUM(D453+D446+D369+D244+D161+D53+D471+D340+D317+D259+D227+D61)</f>
        <v>70393.5</v>
      </c>
      <c r="E475" s="366">
        <f>SUM(E453+E446+E369+E244+E161+E53+E471+E340+E317+E259+E227+E61)</f>
        <v>70393.5</v>
      </c>
      <c r="F475" s="366">
        <f>SUM(F453+F446+F369+F244+F161+F53+F471+F340+F317+F259+F227+F61)</f>
        <v>2006.1000000000001</v>
      </c>
      <c r="G475" s="366">
        <f>SUM(G453+G446+G369+G244+G161+G53+G471+G340+G317+G259+G227+G61)</f>
        <v>3</v>
      </c>
      <c r="H475" s="366">
        <f>SUM(H453+H446+H369+H244+H161+H53+H471+H340+H317+H259+H227+H61)</f>
        <v>27682.7</v>
      </c>
      <c r="I475" s="366">
        <f>SUM(I453+I446+I369+I244+I161+I53+I471+I340+I317+I259+I227+I61)</f>
        <v>17339.45</v>
      </c>
      <c r="J475" s="366">
        <f>SUM(J453+J446+J369+J244+J161+J53+J471+J340+J317+J259+J227+J61)</f>
        <v>6633.14</v>
      </c>
      <c r="K475" s="366">
        <f>SUM(K453+K446+K369+K244+K161+K53+K471+K340+K317+K259+K227+K61)</f>
        <v>16980.240000000002</v>
      </c>
      <c r="L475" s="366">
        <f>SUM(L453+L446+L369+L244+L161+L53+L471+L340+L317+L259+L227+L61)</f>
        <v>28841.059999999998</v>
      </c>
      <c r="M475" s="366">
        <f>SUM(M453+M446+M369+M244+M161+M53+M471+M340+M317+M259+M227+M61)</f>
        <v>27035.39</v>
      </c>
      <c r="N475" s="366">
        <f>SUM(N453+N446+N369+N244+N161+N53+N471+N340+N317+N259+N227+N61)</f>
        <v>70393.5</v>
      </c>
      <c r="O475" s="366">
        <f>SUM(O453+O446+O369+O244+O161+O53+O471+O340+O317+O259+O227+O61)</f>
        <v>68058.38</v>
      </c>
    </row>
    <row r="476" spans="1:15" ht="18.75" x14ac:dyDescent="0.3">
      <c r="A476" s="250"/>
      <c r="B476" s="251"/>
      <c r="C476" s="251"/>
      <c r="D476" s="251"/>
      <c r="E476" s="251"/>
      <c r="F476" s="251"/>
      <c r="G476" s="251"/>
      <c r="H476" s="251"/>
      <c r="I476" s="251"/>
      <c r="J476" s="251"/>
      <c r="K476" s="251"/>
      <c r="L476" s="251"/>
      <c r="M476" s="251"/>
      <c r="N476" s="251"/>
      <c r="O476" s="251"/>
    </row>
    <row r="477" spans="1:15" ht="15.75" x14ac:dyDescent="0.25">
      <c r="A477" s="236"/>
      <c r="B477" s="707"/>
      <c r="C477" s="708"/>
      <c r="D477" s="708"/>
      <c r="E477" s="708"/>
      <c r="F477" s="709"/>
      <c r="G477" s="709"/>
      <c r="H477" s="709"/>
      <c r="I477" s="709"/>
      <c r="J477" s="709"/>
      <c r="K477" s="709"/>
      <c r="L477" s="710"/>
      <c r="M477" s="708"/>
      <c r="N477" s="708"/>
      <c r="O477" s="237"/>
    </row>
    <row r="478" spans="1:15" ht="38.25" customHeight="1" x14ac:dyDescent="0.2">
      <c r="A478" s="236"/>
      <c r="B478" s="237"/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</row>
    <row r="479" spans="1:15" ht="62.25" customHeight="1" x14ac:dyDescent="0.2"/>
    <row r="480" spans="1:15" ht="61.5" customHeight="1" x14ac:dyDescent="0.2"/>
  </sheetData>
  <mergeCells count="68">
    <mergeCell ref="B477:E477"/>
    <mergeCell ref="L477:N477"/>
    <mergeCell ref="A326:A327"/>
    <mergeCell ref="A234:A235"/>
    <mergeCell ref="A260:O260"/>
    <mergeCell ref="A253:A255"/>
    <mergeCell ref="A237:A239"/>
    <mergeCell ref="A245:O245"/>
    <mergeCell ref="A261:A280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8:A9"/>
    <mergeCell ref="A7:O7"/>
    <mergeCell ref="A55:A57"/>
    <mergeCell ref="A469:A471"/>
    <mergeCell ref="A370:N370"/>
    <mergeCell ref="A371:A375"/>
    <mergeCell ref="A380:A398"/>
    <mergeCell ref="A400:A402"/>
    <mergeCell ref="A440:A442"/>
    <mergeCell ref="A334:A336"/>
    <mergeCell ref="A338:A340"/>
    <mergeCell ref="A454:O454"/>
    <mergeCell ref="A341:O341"/>
    <mergeCell ref="A21:O21"/>
    <mergeCell ref="A225:A227"/>
    <mergeCell ref="A15:O15"/>
    <mergeCell ref="A62:O62"/>
    <mergeCell ref="A54:O54"/>
    <mergeCell ref="A63:A66"/>
    <mergeCell ref="A228:O228"/>
    <mergeCell ref="A18:A20"/>
    <mergeCell ref="A22:A27"/>
    <mergeCell ref="A32:A41"/>
    <mergeCell ref="A71:A80"/>
    <mergeCell ref="A167:A218"/>
    <mergeCell ref="A82:A84"/>
    <mergeCell ref="C63:C66"/>
    <mergeCell ref="C22:C27"/>
    <mergeCell ref="A85:A144"/>
    <mergeCell ref="A162:O162"/>
    <mergeCell ref="A149:A152"/>
    <mergeCell ref="C149:C152"/>
    <mergeCell ref="A163:A166"/>
    <mergeCell ref="A455:A467"/>
    <mergeCell ref="A451:A453"/>
    <mergeCell ref="A293:A300"/>
    <mergeCell ref="A302:A304"/>
    <mergeCell ref="A305:A308"/>
    <mergeCell ref="A319:A321"/>
    <mergeCell ref="A447:O447"/>
    <mergeCell ref="A342:A361"/>
    <mergeCell ref="A318:O318"/>
    <mergeCell ref="A448:A449"/>
    <mergeCell ref="C403:C438"/>
    <mergeCell ref="A403:A438"/>
    <mergeCell ref="C345:C361"/>
    <mergeCell ref="A285:A288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1" manualBreakCount="1">
    <brk id="1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2022-01-24T07:57:59Z</dcterms:modified>
</cp:coreProperties>
</file>